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Loqueleo CONABIP 2023" sheetId="1" r:id="rId1"/>
  </sheets>
  <definedNames>
    <definedName name="_xlnm.Print_Titles" localSheetId="0">'Loqueleo CONABIP 2023'!$7:$7</definedName>
  </definedNames>
  <calcPr fullCalcOnLoad="1"/>
</workbook>
</file>

<file path=xl/sharedStrings.xml><?xml version="1.0" encoding="utf-8"?>
<sst xmlns="http://schemas.openxmlformats.org/spreadsheetml/2006/main" count="1926" uniqueCount="550">
  <si>
    <t>CODIGO</t>
  </si>
  <si>
    <t>ISBN</t>
  </si>
  <si>
    <t>SELLO</t>
  </si>
  <si>
    <t>TITULO</t>
  </si>
  <si>
    <t>AUTOR</t>
  </si>
  <si>
    <t>SERIE</t>
  </si>
  <si>
    <t>OBSERVACIONES</t>
  </si>
  <si>
    <t>SANTILLANA</t>
  </si>
  <si>
    <t>LOQUELEO</t>
  </si>
  <si>
    <t>A BERTA LE ENCANTA AMASAR A SU GATO</t>
  </si>
  <si>
    <t>WOLF, EMA</t>
  </si>
  <si>
    <t>BEROCAY, ROY</t>
  </si>
  <si>
    <t>BORNEMANN, ELSA</t>
  </si>
  <si>
    <t>A LA RUMBA LUNA</t>
  </si>
  <si>
    <t>SCHUJER, SILVIA GRACIELA</t>
  </si>
  <si>
    <t>A NADAR CON MARIA INES</t>
  </si>
  <si>
    <t>GAMBARO, GRISELDA</t>
  </si>
  <si>
    <t>A VECES LA SOMBRA</t>
  </si>
  <si>
    <t>VALENTINO, ESTEBAN</t>
  </si>
  <si>
    <t>DAHL, ROALD</t>
  </si>
  <si>
    <t>AGUJEROS NEGROS, LOS</t>
  </si>
  <si>
    <t>REYES, YOLANDA</t>
  </si>
  <si>
    <t>ALMA Y FRIN</t>
  </si>
  <si>
    <t>PESCETTI, LUIS MARIA</t>
  </si>
  <si>
    <t>ALMOHADON DE PLUMAS Y OTROS CUENTOS, EL</t>
  </si>
  <si>
    <t>QUIROGA, HORACIO</t>
  </si>
  <si>
    <t>JUVENIL</t>
  </si>
  <si>
    <t>MENDEZ, MARIO</t>
  </si>
  <si>
    <t>LARAGIONE, LUCIA SERAFINA</t>
  </si>
  <si>
    <t>SAAVEDRA, GUILLERMO</t>
  </si>
  <si>
    <t>MONTES, GRACIELA SILVIA</t>
  </si>
  <si>
    <t>ANITA SE MUEVE (CARTONÉ)</t>
  </si>
  <si>
    <t>ANOTADOR EL</t>
  </si>
  <si>
    <t>SABIA, JUAN VICENTE RAFAEL</t>
  </si>
  <si>
    <t>APRENDIZ, EL</t>
  </si>
  <si>
    <t>ASTRONAUTA DEL BARRIO, EL</t>
  </si>
  <si>
    <t>AVENTURAS DEL SAPO RUPERTO, LAS</t>
  </si>
  <si>
    <t>AY, CUANTO ME QUIERO!</t>
  </si>
  <si>
    <t>PAREDES, MAURICIO</t>
  </si>
  <si>
    <t>BABU</t>
  </si>
  <si>
    <t>BANDA DEL SIGLO, LA</t>
  </si>
  <si>
    <t>SIEMENS, SANDRA</t>
  </si>
  <si>
    <t>BATALLA DE LOS MONSTRUOS Y LAS HADAS, LA</t>
  </si>
  <si>
    <t>BASCH, ADELA</t>
  </si>
  <si>
    <t>RAMOS, MARIA CRISTINA</t>
  </si>
  <si>
    <t>BELISARIO Y LOS ESPEJOS DE AGUA</t>
  </si>
  <si>
    <t>BELISARIO Y LOS FANTASMAS</t>
  </si>
  <si>
    <t>BIENVENIDO PLUMAS</t>
  </si>
  <si>
    <t>HEREDIA, MARIA FERNANDA</t>
  </si>
  <si>
    <t>BITUIN BITUIN NATACHA</t>
  </si>
  <si>
    <t>LEVIN, CLARA</t>
  </si>
  <si>
    <t>BOTELLA AL MAR</t>
  </si>
  <si>
    <t>MARIÑO, RICARDO JESUS</t>
  </si>
  <si>
    <t>BRUJAS, LAS</t>
  </si>
  <si>
    <t>BUENISIMO NATACHA</t>
  </si>
  <si>
    <t>BUSCADOR DE FINALES, EL (NVA EDIC)</t>
  </si>
  <si>
    <t>DE SANTIS, PABLO</t>
  </si>
  <si>
    <t>CABALLEROS DE LA RAMA, LOS</t>
  </si>
  <si>
    <t>BIRMAJER, MARCELO</t>
  </si>
  <si>
    <t>CABO FANTASMA</t>
  </si>
  <si>
    <t>MULEIRO, VICENTE</t>
  </si>
  <si>
    <t>CADA CUAL SE DIVIERTE COMO PUEDE</t>
  </si>
  <si>
    <t>ROLDAN, GUSTAVO</t>
  </si>
  <si>
    <t>CAMARA OCULTA, LA</t>
  </si>
  <si>
    <t>CAMINO DE LA HORMIGA, EL</t>
  </si>
  <si>
    <t>CAMINO DE SHERLOCK, EL</t>
  </si>
  <si>
    <t>FERRARI HARDOY, ANDREA ELENA</t>
  </si>
  <si>
    <t>GALMEZ, GRISELDA</t>
  </si>
  <si>
    <t>CANDELARIA Y LOS MONSTRUOS</t>
  </si>
  <si>
    <t>CAPERUCITA ROJA ( TAL COMO SE LO CONTAR</t>
  </si>
  <si>
    <t>CARO DICE</t>
  </si>
  <si>
    <t>FALCONI, MARIA INES</t>
  </si>
  <si>
    <t>CARTAS PARA JULIA</t>
  </si>
  <si>
    <t>CASA DE RODOLFO, LA</t>
  </si>
  <si>
    <t>HILB, NORA, VERA Y CLAUDIA</t>
  </si>
  <si>
    <t>CASA MALDITA, LA</t>
  </si>
  <si>
    <t>SCHLAEN, CARLOS ALBERTO</t>
  </si>
  <si>
    <t>CASO DEL FUTBOLISTA ENMASCARADO, EL</t>
  </si>
  <si>
    <t>GIARDINELLI, MEMPO</t>
  </si>
  <si>
    <t>CENICIENTA NO ESCARMIENTA</t>
  </si>
  <si>
    <t>CHARLIE Y EL GRAN ASCENSOR DE CRISTAL</t>
  </si>
  <si>
    <t>CHARLIE Y LA FABRICA DE CHOCOLATE</t>
  </si>
  <si>
    <t>CHAT NATACHA CHAT</t>
  </si>
  <si>
    <t>CHICAS DE ALAMBRE, LAS</t>
  </si>
  <si>
    <t>SIERRA I FABRA, JORDI</t>
  </si>
  <si>
    <t>CHIMPANCES MIRAN A LOS OJOS, LOS</t>
  </si>
  <si>
    <t>SHUA, ANA MARIA</t>
  </si>
  <si>
    <t>CIRCULO DE LA SUERTE, EL</t>
  </si>
  <si>
    <t>COLON AGARRA VIAJE A TODA COSTA</t>
  </si>
  <si>
    <t>COMO BERTA CONOCIO A SU GATO</t>
  </si>
  <si>
    <t>PISOS, CECILIA</t>
  </si>
  <si>
    <t>COMO SI NO HUBIERA QUE CRUZAR EL MAR</t>
  </si>
  <si>
    <t>PISOS REPPETTO, CECILIA</t>
  </si>
  <si>
    <t>CONTEMOS UNO. DOS. TRES Y VAYAMOS A 1810</t>
  </si>
  <si>
    <t>CORAZONADAS</t>
  </si>
  <si>
    <t>COSAS QUE ODIO Y OTRAS EXAGERACION, LAS</t>
  </si>
  <si>
    <t>DEVETACH, LAURA</t>
  </si>
  <si>
    <t>CRETINOS, LOS</t>
  </si>
  <si>
    <t>CRIMEN EN EL ARCA</t>
  </si>
  <si>
    <t>CUADERNOS DE UN DELFIN</t>
  </si>
  <si>
    <t>CUANDO HITLER ROBO EL CONEJO ROSA</t>
  </si>
  <si>
    <t>KERR, JUDITH</t>
  </si>
  <si>
    <t>CUENTO CON SAPO Y ARCO IRIS</t>
  </si>
  <si>
    <t>CUENTOS A SALTO DE CANGURO</t>
  </si>
  <si>
    <t>CUENTOS CON BRUJAS</t>
  </si>
  <si>
    <t>CABAL, GRACIELA BEATRIZ</t>
  </si>
  <si>
    <t>CUENTOS CON MAGIA</t>
  </si>
  <si>
    <t>CUENTOS EN VERSO PARA NIÑOS PERVERSOS</t>
  </si>
  <si>
    <t>CUENTOS ESPANTOSOS</t>
  </si>
  <si>
    <t>VARIOS AUTORES</t>
  </si>
  <si>
    <t>CUENTOS MAS O MENOS CONTADOS</t>
  </si>
  <si>
    <t>CALIFA, OCHE</t>
  </si>
  <si>
    <t>CUENTOS QUE CUENTAN LOS INDIOS</t>
  </si>
  <si>
    <t>CUENTOS QUE NO SON CUENTO</t>
  </si>
  <si>
    <t>CUENTOS RIDICULOS</t>
  </si>
  <si>
    <t>CUENTOS Y LEYENDAS DE ARGENT.Y AMERICA</t>
  </si>
  <si>
    <t>MARTINEZ, PAULINA</t>
  </si>
  <si>
    <t>CUIDADO CON EL PERRO</t>
  </si>
  <si>
    <t>CINETTO, LILIANA</t>
  </si>
  <si>
    <t>CUPIDO 13</t>
  </si>
  <si>
    <t>DECIR AMIGO</t>
  </si>
  <si>
    <t>ROLDAN, ELISA</t>
  </si>
  <si>
    <t>DEDO MAGICO, EL</t>
  </si>
  <si>
    <t>DEL OTRO LADO DEL MUNDO</t>
  </si>
  <si>
    <t>DESMARAVILLADORES, LOS</t>
  </si>
  <si>
    <t>DESPLUMADO Y OTROS CUENTOS ANIMALES</t>
  </si>
  <si>
    <t>DETECTIVES EN BARILOCHE</t>
  </si>
  <si>
    <t>BRANDAN ARAOZ, MARIA</t>
  </si>
  <si>
    <t>DETECTIVES EN MAR DEL PLATA</t>
  </si>
  <si>
    <t>DETECTIVES EN PALERMO VIEJO</t>
  </si>
  <si>
    <t>DIA EN QUE LOS ANIMALES QUISIERON.... EL</t>
  </si>
  <si>
    <t>PASZKOWSKI, DIEGO</t>
  </si>
  <si>
    <t>DIA UNA BRUJULA, UN</t>
  </si>
  <si>
    <t>DIABLO EN LA BOTELLA Y OTROS CTOS, EL</t>
  </si>
  <si>
    <t>STEVENSON, ROBERT LOUIS</t>
  </si>
  <si>
    <t>DIARIO DE UN AMOR A DESTIEMPO</t>
  </si>
  <si>
    <t>DIARIO DE UN VIAJE IMPOSIBLE</t>
  </si>
  <si>
    <t>DIMINUTO CONTRA LOS FANTASMAS</t>
  </si>
  <si>
    <t>DIMINUTO Y EL CAMPAMENTO ZOMBI</t>
  </si>
  <si>
    <t>DIMINUTO Y EL GOL DE ORO</t>
  </si>
  <si>
    <t>DIMINUTO Y EL MONSTRUO SUBTERRANEO</t>
  </si>
  <si>
    <t>DIOSES Y HEROES DE LA MITOLOGIA GRIEGA</t>
  </si>
  <si>
    <t>DISPARATES (RIMAS Y ADIVINANZAS)</t>
  </si>
  <si>
    <t>CHAKTOURA, JULIA RITA</t>
  </si>
  <si>
    <t>DON PERRO DE MENDOZA</t>
  </si>
  <si>
    <t>DONDE ESTA MI TESORO ?</t>
  </si>
  <si>
    <t>KESELMAN, GABRIELA</t>
  </si>
  <si>
    <t>DOS GIMENEZ, LOS</t>
  </si>
  <si>
    <t>DOS MARIAS, LAS</t>
  </si>
  <si>
    <t>DOS PERROS Y UNA ABUELA</t>
  </si>
  <si>
    <t>MONKMAN, OLGA</t>
  </si>
  <si>
    <t>EDAD DEL PAVO, LA</t>
  </si>
  <si>
    <t>EL ULTIMO PLANETA, EN</t>
  </si>
  <si>
    <t>ELEFANTE OCUPA MUCHO ESPACIO, UN</t>
  </si>
  <si>
    <t>EMANUEL Y MARGARITA: UN VIAJE INESPERADO</t>
  </si>
  <si>
    <t>EMPANADAS CRIOLLAS SON UNA JOYA, LAS</t>
  </si>
  <si>
    <t>EN CARNAVAL BERTA DISFRAZA A SU GATO -</t>
  </si>
  <si>
    <t>EN ESTAS HOJAS DETALLO COMO LLEGO EL 25</t>
  </si>
  <si>
    <t>ENCICLOPEDIA DE LAS CHICAS PERLA, LA</t>
  </si>
  <si>
    <t>ESCARABAJO DE ORO Y OTROS CUENTOS. EL</t>
  </si>
  <si>
    <t>POE, EDGARD ALAN</t>
  </si>
  <si>
    <t>EXPEDICION, LA</t>
  </si>
  <si>
    <t>EXTRAÑAMIENTOS, LOS</t>
  </si>
  <si>
    <t>BLASCO, MARTIN</t>
  </si>
  <si>
    <t>EXTRAÑO CASO DEL DR.JEKYLL.... EL</t>
  </si>
  <si>
    <t>FABRICA DE SERENATAS, LA</t>
  </si>
  <si>
    <t>FANTASTICO MISTERIO DE LA PRINCESA, EL</t>
  </si>
  <si>
    <t>BANDEIRA DE LUNA FILHO, PEDRO</t>
  </si>
  <si>
    <t>FILOTEA Y OTROS CUENTOS</t>
  </si>
  <si>
    <t>FRIN</t>
  </si>
  <si>
    <t>GALERIA DE SERES ESPANTOSOS</t>
  </si>
  <si>
    <t>GATO DE BERTA TIENE POCAS PULGAS, EL</t>
  </si>
  <si>
    <t>GENIO DE LA CARTUCHERA, EL</t>
  </si>
  <si>
    <t>GRAN DIA DE BRUTILDA, EL</t>
  </si>
  <si>
    <t>GRAN GIGANTE BONACHON, EL</t>
  </si>
  <si>
    <t>GUERRA DE SERPIENTES</t>
  </si>
  <si>
    <t>GUERREROS DE LA HIERBA, LOS</t>
  </si>
  <si>
    <t>HABIA UNA VEZ UN BARCO</t>
  </si>
  <si>
    <t>HABIA UNA VEZ UNA CASA</t>
  </si>
  <si>
    <t>HABIA UNA VEZ UNA LLAVE</t>
  </si>
  <si>
    <t>HABIA UNA VEZ UNA NUBE</t>
  </si>
  <si>
    <t>HABIA UNA VEZ UNA PRINCESA</t>
  </si>
  <si>
    <t>HADA MAU Y LAS PERFECTAS MALVADAS, EL</t>
  </si>
  <si>
    <t>SHAKESPEARE, WILLIAM</t>
  </si>
  <si>
    <t>HASTA LA CORONILLA (NVA EDIC)</t>
  </si>
  <si>
    <t>HAY PALABRAS QUE LOS PECES NO ENTIENDEN</t>
  </si>
  <si>
    <t>HEREDERA DE UN SECRETO</t>
  </si>
  <si>
    <t>HEROE Y OTROS CUENTOS, EL</t>
  </si>
  <si>
    <t>HIJO DEL SUPERHEROE, EL</t>
  </si>
  <si>
    <t>HISTORIA DE FLECHAZO Y LA NUBE</t>
  </si>
  <si>
    <t>HISTORIA DE UN PRIMER FIN DE SEMANA</t>
  </si>
  <si>
    <t>HISTORIA INTERMINABLE, LA</t>
  </si>
  <si>
    <t>ENDE, MICHAEL</t>
  </si>
  <si>
    <t>HISTORIAS DE LOS SEÑORES MOC Y POC</t>
  </si>
  <si>
    <t>HOLA ANDRES, SOY MARIA OTRA VEZ</t>
  </si>
  <si>
    <t>HOMBRE DE FUEGO, EL</t>
  </si>
  <si>
    <t>HOMBRE QUE PISO SU SOMBRA, EL</t>
  </si>
  <si>
    <t>HOMBRE SIN CABEZA, EL</t>
  </si>
  <si>
    <t>HOMBRECITO VERDE Y SU PAJARO, EL</t>
  </si>
  <si>
    <t>INSOPORTABLE, EL</t>
  </si>
  <si>
    <t>INVASION, LA</t>
  </si>
  <si>
    <t>INVENTOR DE JUEGOS, EL</t>
  </si>
  <si>
    <t>INVESTIGADOR GIMENEZ, EL</t>
  </si>
  <si>
    <t>INVIERNO DE LOS ERIZOS, EL</t>
  </si>
  <si>
    <t>GRUPO RETAHILA</t>
  </si>
  <si>
    <t>IRULANA Y EL OGRONTE</t>
  </si>
  <si>
    <t>ISLA SIN TESORO. LA</t>
  </si>
  <si>
    <t>JEFE DE LA MANADA, EL</t>
  </si>
  <si>
    <t>GARLAND, INES</t>
  </si>
  <si>
    <t>JIRAFA, EL PELICANO Y EL MONO, LA</t>
  </si>
  <si>
    <t>JOSE DE SAN MARTIN, CABALLERO DEL</t>
  </si>
  <si>
    <t>JUANA, LA INTREPIDA CAPITANA</t>
  </si>
  <si>
    <t>JUEGO DE LA NIEVE, EL</t>
  </si>
  <si>
    <t>JUEGO DEL LABERINTO, EL</t>
  </si>
  <si>
    <t>JUICIO AL RATON PEREZ</t>
  </si>
  <si>
    <t>LA ESCUELA CON CINTHIA SCOCH LIBRO 3, A</t>
  </si>
  <si>
    <t>LEJOS DE FRIN</t>
  </si>
  <si>
    <t>LEYENDA DEL BICHO COLORADO, LA</t>
  </si>
  <si>
    <t>LIBRO DE LOS CHICOS ENAMORADOS, EL</t>
  </si>
  <si>
    <t>LISA DE LOS PARAGUAS</t>
  </si>
  <si>
    <t>LLAVE DEL AGUILA, LA</t>
  </si>
  <si>
    <t>LO QUE GUARDA UN CARACOL</t>
  </si>
  <si>
    <t>BOMBARA, PAULA</t>
  </si>
  <si>
    <t>LOBO RODOLFO, EL</t>
  </si>
  <si>
    <t>LOBO ROJO Y CAPERUCITA FEROZ</t>
  </si>
  <si>
    <t>LUCAS LENZ Y EL MUSEO DEL UNIVERSO</t>
  </si>
  <si>
    <t>LUCAS LENZ Y LA MANO DEL EMPERADOR</t>
  </si>
  <si>
    <t>LUNA RECIEN NACIDA</t>
  </si>
  <si>
    <t>MAGIA TODO EL DíA</t>
  </si>
  <si>
    <t>MALDICION DEL VIRREY, LA</t>
  </si>
  <si>
    <t>MALEDUCADA</t>
  </si>
  <si>
    <t>MAMÁ, POR QUÉ NADIE ES COMO NOSOTROS</t>
  </si>
  <si>
    <t>MAR PREFERIDO DE LOS PIRATAS, EL</t>
  </si>
  <si>
    <t>MARCAS DE LA MENTIRA, LAS</t>
  </si>
  <si>
    <t>MARTIN FIERRO</t>
  </si>
  <si>
    <t>HERNANDEZ, JOSE</t>
  </si>
  <si>
    <t>MATILDA</t>
  </si>
  <si>
    <t>MAURO &amp; ADELA, AGENCIA DE DETECTIVES</t>
  </si>
  <si>
    <t>MESA, EL BURRO Y EL BASTÓN, LA</t>
  </si>
  <si>
    <t>MI MUNDIAL</t>
  </si>
  <si>
    <t>BALDI, DANIEL</t>
  </si>
  <si>
    <t>MIL GRULLAS</t>
  </si>
  <si>
    <t>MIMPINS, LOS</t>
  </si>
  <si>
    <t>MINI ANTOLOGIA DE CUENTOS</t>
  </si>
  <si>
    <t>MITOS Y RECUERDOS</t>
  </si>
  <si>
    <t>MOMO</t>
  </si>
  <si>
    <t>MONEDA MARAVILLOSA, LA</t>
  </si>
  <si>
    <t>MONIGOTE EN LA ARENA</t>
  </si>
  <si>
    <t>MONSTRUO DEL ARROYO, EL</t>
  </si>
  <si>
    <t>MONTE ERA UNA FIESTA, EL</t>
  </si>
  <si>
    <t>MUCHO PERRO</t>
  </si>
  <si>
    <t>NADA DE TUCANES</t>
  </si>
  <si>
    <t>NADIE TE CREERIA</t>
  </si>
  <si>
    <t>NATACHA</t>
  </si>
  <si>
    <t>NIÑO ENVUELTO, EL</t>
  </si>
  <si>
    <t>NIÑOS: GUIA DEL USUARIO (NATACHA)</t>
  </si>
  <si>
    <t>NO ES FACIL SER WATSON</t>
  </si>
  <si>
    <t>NO ME DIGAS BOND</t>
  </si>
  <si>
    <t>NO SOMOS IRROMPIBLES</t>
  </si>
  <si>
    <t>NOCHE DE LOS MUERTOS, LA</t>
  </si>
  <si>
    <t>NUESTRO PLANETA, NATACHA</t>
  </si>
  <si>
    <t>OJOS AMARILLOS</t>
  </si>
  <si>
    <t>OJOS DE LA NOCHE, LOS</t>
  </si>
  <si>
    <t>ORFF, UNA AVENTURA EN LA MONTAÑA</t>
  </si>
  <si>
    <t>OTROSO</t>
  </si>
  <si>
    <t>PAIS DE LAS BRUJAS, EL (NVA.EDIC)</t>
  </si>
  <si>
    <t>BANEGAS, CRISTINA GRACIELA</t>
  </si>
  <si>
    <t>PARIS IDA Y VUELTA. EL TANQUE DE AGUA II</t>
  </si>
  <si>
    <t>PASEO DE LOS VIEJITOS, EL</t>
  </si>
  <si>
    <t>PATEANDO LUNAS</t>
  </si>
  <si>
    <t>PEDRO Y LOS LOBOS</t>
  </si>
  <si>
    <t>PERDIDO EN LA SELVA</t>
  </si>
  <si>
    <t>PERROS COMPLICADOS</t>
  </si>
  <si>
    <t>PIEDRA, PAPEL O TIJERA</t>
  </si>
  <si>
    <t>POESIA PARA CHICOS</t>
  </si>
  <si>
    <t>PUERTA SECRETA, LA</t>
  </si>
  <si>
    <t>PULGAS NO ANDAN POR LAS RAMAS, LAS</t>
  </si>
  <si>
    <t>PULGOSO Y OTROS CUENTOS PERROS</t>
  </si>
  <si>
    <t>PULPO ESTA CRUDO, EL</t>
  </si>
  <si>
    <t>QUE SEA LA ODISEA</t>
  </si>
  <si>
    <t>QUE SORPRESA, TOMASITO!</t>
  </si>
  <si>
    <t>QUERIDO DIARIO (NATACHA)</t>
  </si>
  <si>
    <t>QUERIDO HIJO: ESTAMOS EN HUELGA</t>
  </si>
  <si>
    <t>QUERIDO HIJO: ESTAS DESPEDIDO</t>
  </si>
  <si>
    <t>QUERIDOS MONSTRUOS</t>
  </si>
  <si>
    <t>RAROS PEINADOS</t>
  </si>
  <si>
    <t>RODRIGUEZ GESUALDI, CARLOS</t>
  </si>
  <si>
    <t>REBELION DE LAS PALABRAS, LA</t>
  </si>
  <si>
    <t>RECUERDOS DE LOCOSMOS</t>
  </si>
  <si>
    <t>REGRESO A LA CASA MALDITA</t>
  </si>
  <si>
    <t>REVOLUCION, LA</t>
  </si>
  <si>
    <t>ROCO Y SUS HERMANAS</t>
  </si>
  <si>
    <t>ROMEO Y JULIETA</t>
  </si>
  <si>
    <t>ROMPECABEZAS</t>
  </si>
  <si>
    <t>MAQUIEIRA, MARIA FERNANDA</t>
  </si>
  <si>
    <t>RUIDO DEL EXITO, EL</t>
  </si>
  <si>
    <t>RUPERTO AL RESCATE</t>
  </si>
  <si>
    <t>RUPERTO DE TERROR</t>
  </si>
  <si>
    <t>RUPERTO DETECTIVE</t>
  </si>
  <si>
    <t>RUPERTO Y LOS EXTRATERRESTRES</t>
  </si>
  <si>
    <t>S.O.S. GORILAS</t>
  </si>
  <si>
    <t>SAPO EN BUENOS AIRES</t>
  </si>
  <si>
    <t>SAPO MAS LINDO, EL</t>
  </si>
  <si>
    <t>SECRETO DEL TANQUE DE AGUA, EL</t>
  </si>
  <si>
    <t>SERES EXTRAÑOS LOS</t>
  </si>
  <si>
    <t>SIETE NOMBRES, LOS</t>
  </si>
  <si>
    <t>SOCORRO</t>
  </si>
  <si>
    <t>SOCORRO 10</t>
  </si>
  <si>
    <t>SONADA AVENTURA DE BEN MALASANGUE, LA</t>
  </si>
  <si>
    <t>SORPRESA EN EL BOSQUE</t>
  </si>
  <si>
    <t>SUEÑOS DEL YACARE, LOS</t>
  </si>
  <si>
    <t>SUPERZORRO, EL</t>
  </si>
  <si>
    <t>TAMBIEN LAS ESTATUAS TIENEN MIEDO (ARG)</t>
  </si>
  <si>
    <t>TE AMO. LECTURA (NATACHA)</t>
  </si>
  <si>
    <t>TE ESPERO EN SOFIA</t>
  </si>
  <si>
    <t>TERROR DE 6 B, EL</t>
  </si>
  <si>
    <t>TESORO ESCONDIDO, EL</t>
  </si>
  <si>
    <t>TITANIS: EL ARMARIO DE LA LUNA</t>
  </si>
  <si>
    <t>TODAS LAS TARDES DE SOL</t>
  </si>
  <si>
    <t>TODOS LOS SOLES MIENTEN</t>
  </si>
  <si>
    <t>TOMASITO</t>
  </si>
  <si>
    <t>TOMASITO CUMPLE DOS</t>
  </si>
  <si>
    <t>TOMASITO VA AL JARDIN</t>
  </si>
  <si>
    <t>TORRE DE CUBOS, LA</t>
  </si>
  <si>
    <t>TRAJE DEL EMPERADOR Y OTROS CUENTOS, EL</t>
  </si>
  <si>
    <t>TRASNOCHE</t>
  </si>
  <si>
    <t>TREINTA Y CUATRO LAUCHITAS</t>
  </si>
  <si>
    <t>TREN MAS LARGO DEL MUNDO, EL</t>
  </si>
  <si>
    <t>TRENZA TAN LARGA, UNA</t>
  </si>
  <si>
    <t>TUCUMAN ERA UNA FIESTA</t>
  </si>
  <si>
    <t>TUNEL DE LOS PAJAROS MUERTOS, EL</t>
  </si>
  <si>
    <t>ULTIMO ESPIA, EL</t>
  </si>
  <si>
    <t>ULTIMO MAGO O BILEMBAMBUDIN, EL</t>
  </si>
  <si>
    <t>UN CUENTO DE AMOR EN MAYO</t>
  </si>
  <si>
    <t>UN CUENTO PUAJJJ</t>
  </si>
  <si>
    <t>UNA FAMILIA PARA RODOLFO</t>
  </si>
  <si>
    <t>UNA Y MIL NOCHES DE SHEREZADA</t>
  </si>
  <si>
    <t>UNICO DEL MUNDO, LO</t>
  </si>
  <si>
    <t>UNIDOS CONTRA DRACULA</t>
  </si>
  <si>
    <t>VACACIONES DE TOMASITO, LAS</t>
  </si>
  <si>
    <t>VALIENTE BAJO LA MESA, UN</t>
  </si>
  <si>
    <t>VECINOS Y DETECTIVES EN BELGRANO</t>
  </si>
  <si>
    <t>VELAS MALDITAS, LAS</t>
  </si>
  <si>
    <t>VELOCIDAD DE LA MÚSICA, LA</t>
  </si>
  <si>
    <t>VISITAS, LAS (ARG)</t>
  </si>
  <si>
    <t>VUELO DEL DRAGON, EL</t>
  </si>
  <si>
    <t>VUELO DEL SAPO, EL</t>
  </si>
  <si>
    <t>ZIMMERS</t>
  </si>
  <si>
    <t>LIBRO PREMIADO</t>
  </si>
  <si>
    <t>ESCAPE A LA INDIA NOVELA</t>
  </si>
  <si>
    <t xml:space="preserve">TITO NUNCA MÁS Y OTROS CUENTOS </t>
  </si>
  <si>
    <t>NATACHA TRADE</t>
  </si>
  <si>
    <t>COMO ESCRIBIR LA NOVELA DE TU VIDA</t>
  </si>
  <si>
    <t>NATACHA (TRADE TAPA DURA)</t>
  </si>
  <si>
    <t>CHAT NATACHA CHAT (TRADE TAPA DURA)</t>
  </si>
  <si>
    <t>BITUIN BITUIN NATACHA (TRADE TAPA DURA)</t>
  </si>
  <si>
    <t>QUERIDO DIARIO (TRADE TAPA DURA)</t>
  </si>
  <si>
    <t>BUENÍSIMO NATACHA (TRADE TAPA DURA)</t>
  </si>
  <si>
    <t>TE AMO LECTURA (TRADE TAPA DURA)</t>
  </si>
  <si>
    <t>NUESTRO PLANETA NATACHA (TRADE TAPA DURA)</t>
  </si>
  <si>
    <t>NIÑOS: GUÍA DEL USUARIO (TRADE TAPA DURA)</t>
  </si>
  <si>
    <t>BANDERAS NEGRAS SOBRE CIELO AZUL</t>
  </si>
  <si>
    <t>PUENTE DE LA SOLEDAD, EL</t>
  </si>
  <si>
    <t>ENCICLOPEDIA DE LA CHICAS PERLA, LA (TRADE TAPA DURA)</t>
  </si>
  <si>
    <t>MALASANGRE Y OTRAS OBRAS DE TEATRO, LA</t>
  </si>
  <si>
    <t>VERDADERA HISTORIA DEL RATON FEROZ, LA</t>
  </si>
  <si>
    <t>PIPA DEL ABUELO, LA</t>
  </si>
  <si>
    <t>PARA LLEGAR HASTA EL SOL</t>
  </si>
  <si>
    <t>CUENTOS DE LA SELVA</t>
  </si>
  <si>
    <t>LEYRA</t>
  </si>
  <si>
    <t>BLASCO, MARTIN - FERRARI HARDOY, ANDREA ELENA</t>
  </si>
  <si>
    <t>MURO, EL</t>
  </si>
  <si>
    <t>CONEXION ALTERIS</t>
  </si>
  <si>
    <t>QUIZAS EN EL TREN</t>
  </si>
  <si>
    <t>RUPERTO Y LAS VACACIONES SINIESTRAS</t>
  </si>
  <si>
    <t>RUPERTO INSISTE!!</t>
  </si>
  <si>
    <t>CIUDADANO DE MIS ZAPATOS, EL</t>
  </si>
  <si>
    <t>GRAN JUGADA, LA</t>
  </si>
  <si>
    <t>PICARDÍAS EN EL MONTE</t>
  </si>
  <si>
    <t>ANIMAL IMPOSIBLE, MI</t>
  </si>
  <si>
    <t xml:space="preserve">SOPA INGLESA  </t>
  </si>
  <si>
    <t>ESTILO LIBRE</t>
  </si>
  <si>
    <t>SUPERLIGA, LA</t>
  </si>
  <si>
    <t xml:space="preserve">CANCIONES Y CUENTOS DE CUNA PARA CANTAR Y CONTAR ANTES DE IR A DORMIR </t>
  </si>
  <si>
    <t>APRENDE LOS COLORES CON SAM, LA TORTUGA AMARILLA</t>
  </si>
  <si>
    <t>BICHERIO FUNDAMENTAL</t>
  </si>
  <si>
    <t>JAMES Y EL MELOCOTON GIGANTE</t>
  </si>
  <si>
    <t>EL RATON FEROZ VUELVE AL ATAQUE</t>
  </si>
  <si>
    <t>BRANDIMARTE, DANIEL</t>
  </si>
  <si>
    <t>Cantidad</t>
  </si>
  <si>
    <t>QUERIDO HIJO: TIENES CUATRO PADRES</t>
  </si>
  <si>
    <t>SOLO QUEDA SALTAR</t>
  </si>
  <si>
    <t>FANTASMAS TIENEN BUENA LETRA, LOS</t>
  </si>
  <si>
    <t>FIESTA, LA</t>
  </si>
  <si>
    <t>LOJO, MARÍA ROSA</t>
  </si>
  <si>
    <t>LULI: UNA GATITA DE CIUDAD</t>
  </si>
  <si>
    <t>TRADE INFANTIL</t>
  </si>
  <si>
    <t>COLECTIVO FANTASMA, EL</t>
  </si>
  <si>
    <t>FÁBRICA DE CHISTES, LA</t>
  </si>
  <si>
    <t>TONIO Y TUX</t>
  </si>
  <si>
    <t>AYER PASÉ POR TU TORRE</t>
  </si>
  <si>
    <t>PLANTA DE BARTOLO, LA</t>
  </si>
  <si>
    <t>IGUALES, LAS</t>
  </si>
  <si>
    <t>COSAS QUE QUIERO, LAS</t>
  </si>
  <si>
    <t>SHUA, ANA MARIA Y FABRYKANT PALOMA</t>
  </si>
  <si>
    <t>POZO MUY HONDO, UN (CARTONE)</t>
  </si>
  <si>
    <t>PARAGUAS DEL MAGO, EL (CARTONE)</t>
  </si>
  <si>
    <t>AUTO DE ANASTASIO, EL (CARTONE)</t>
  </si>
  <si>
    <t>¡TOC! ¡TOC! (CARTONE)</t>
  </si>
  <si>
    <t>MIS TÍOS GIGANTES</t>
  </si>
  <si>
    <t>SCHUFF, NICOLÁS</t>
  </si>
  <si>
    <t>QUERIDO HIJO: TE VAS CON LOS ABUELOS</t>
  </si>
  <si>
    <t>DONOVAN</t>
  </si>
  <si>
    <t>¿QUIÉN QUIERE SER DETECTIVE?</t>
  </si>
  <si>
    <t>OTREDAD, LA. ANTOLOGÍA DE CUENTOS LATINOAMERICANOS</t>
  </si>
  <si>
    <t>BOSQUE DE CENIZAS, EL</t>
  </si>
  <si>
    <t>DUNA HELADA, LA</t>
  </si>
  <si>
    <t>FUE RAFLES, NATACHA</t>
  </si>
  <si>
    <t>CLARITA FUE A LA CHINA</t>
  </si>
  <si>
    <t>CLARITA SE VOLVIÓ INVISIBLE</t>
  </si>
  <si>
    <t>VERSOS DE LA NIÑA LÁPIZ, LOS</t>
  </si>
  <si>
    <t>PORCELLI PIUSSI, LIZA</t>
  </si>
  <si>
    <t>AVILA, LAURA</t>
  </si>
  <si>
    <t>ROSA DEL RÍO, LA</t>
  </si>
  <si>
    <t>FORMA CHINA DE GUARDAR LAS COSAS, LA</t>
  </si>
  <si>
    <t>ESTACIÓN DE LOS ESPEJOS, LA</t>
  </si>
  <si>
    <t>CIELITO DE MI BANDERA</t>
  </si>
  <si>
    <t>VIAJE A LA BANDERA</t>
  </si>
  <si>
    <t xml:space="preserve">EL ARBOL DE LOS RUIDOS Y LAS NUECES </t>
  </si>
  <si>
    <t>A ROSARIO SIN ESCALAS</t>
  </si>
  <si>
    <t>MI AMIGO MANUEL</t>
  </si>
  <si>
    <t>EL HOMBRE QUE NO PODIA MENTIR</t>
  </si>
  <si>
    <t>BELGRANO HACE BANDERA (NUEVA EDICION)</t>
  </si>
  <si>
    <t>SORPRESA DE BRUTILDA, LA</t>
  </si>
  <si>
    <t>BUENAS NOCHES (CARTONE)</t>
  </si>
  <si>
    <t>FLOR DE NENA (CARTONE)</t>
  </si>
  <si>
    <t>POQUITO DE ARCOIRIS, UN (CARTONE)</t>
  </si>
  <si>
    <t>VALIJA DE DOÑA MARIA, LA (CARTONE)</t>
  </si>
  <si>
    <t>Ver libro</t>
  </si>
  <si>
    <t>VER</t>
  </si>
  <si>
    <t>RODOLFO QUIERE NADAR</t>
  </si>
  <si>
    <t>TONIO Y TUX  ¡AL ATAQUE!</t>
  </si>
  <si>
    <t>RETRATO DE VERONICA G, EL</t>
  </si>
  <si>
    <t>PEQUENAS HISTORIAS DE MI PAIS</t>
  </si>
  <si>
    <t>HISTORIA DE TRES BANDERAS</t>
  </si>
  <si>
    <t>NO LO OLVIDES, SUYAY</t>
  </si>
  <si>
    <t>HOTEL ACANTILADO</t>
  </si>
  <si>
    <t>FLOR DE LA MALEZA, LA</t>
  </si>
  <si>
    <t>DESOBEDIENTE, LA</t>
  </si>
  <si>
    <t>MAR QUE NOS TRAJO, EL</t>
  </si>
  <si>
    <t>CALIFA, CINETTO, MÉNDEZ, PISOS</t>
  </si>
  <si>
    <t>MIENTRAS TE ESPERAMOS</t>
  </si>
  <si>
    <t>DADA SUEÑA</t>
  </si>
  <si>
    <t>DADA SE BAÑA</t>
  </si>
  <si>
    <t>DADA PASEA</t>
  </si>
  <si>
    <t>BEBETECA</t>
  </si>
  <si>
    <t>EL CUENTO. UN ELEFANTE OCUPA MUCHO ESPACIO</t>
  </si>
  <si>
    <t>LA TIA, LA GUERRA</t>
  </si>
  <si>
    <t>DONDE SE ACABA EL VIENTO</t>
  </si>
  <si>
    <t>AMARILLA (DESDE 6 AÑOS)</t>
  </si>
  <si>
    <t>AZUL (DESDE 12 AÑOS)</t>
  </si>
  <si>
    <t>MORADA (DESDE 8 AÑOS)</t>
  </si>
  <si>
    <t>NARANJA (DESDE 10 AÑOS)</t>
  </si>
  <si>
    <t>PRELECTORES</t>
  </si>
  <si>
    <t>VERDE (DESDE 4 AÑOS)</t>
  </si>
  <si>
    <t>ALBUM INFANTIL</t>
  </si>
  <si>
    <t>BOTIQUIN EMOCIONAL</t>
  </si>
  <si>
    <t>RUIDOS MONSTRUOSOS</t>
  </si>
  <si>
    <t>KANINA</t>
  </si>
  <si>
    <t>ADIÓS, CHESTER BINDER</t>
  </si>
  <si>
    <t>MONSTRUO QUE VA A COMERSE EL MUNDO, EL</t>
  </si>
  <si>
    <t>OTRAS ISLAS, LAS. EDICIÓN ANIVERSARIO</t>
  </si>
  <si>
    <t>DURINI, ANGELES</t>
  </si>
  <si>
    <t>Precio</t>
  </si>
  <si>
    <t>Precio CONABIP</t>
  </si>
  <si>
    <t>Año de publicación</t>
  </si>
  <si>
    <t>NOMBRE DE LA BIBLIOTECA:</t>
  </si>
  <si>
    <t>CUIT:</t>
  </si>
  <si>
    <t>NÚMERO CONABIP:</t>
  </si>
  <si>
    <t>DIRECCIÓN:</t>
  </si>
  <si>
    <t>Lista de precios LOQUELEO</t>
  </si>
  <si>
    <t>CONABIP  - Programa Libro% 2023</t>
  </si>
  <si>
    <t>¡QUÉ ASCO DE BICHOS! EL COCODRILO ENORME</t>
  </si>
  <si>
    <t>A BERTA SE LE PERDIO SU GATO</t>
  </si>
  <si>
    <t>NOVEDAD 2022</t>
  </si>
  <si>
    <t>AGU TROT</t>
  </si>
  <si>
    <t>AMISTAD BATE LA COLA, LA</t>
  </si>
  <si>
    <t>MARINA COLASANTI</t>
  </si>
  <si>
    <t>ANITA DICE COMO ES (CARTONÉ)</t>
  </si>
  <si>
    <t>ANITA DICE DONDE ESTA (CARTONÉ)</t>
  </si>
  <si>
    <t>ANITA JUNTA COLORES (CARTONÉ)</t>
  </si>
  <si>
    <t>ANITA QUIERE JUGAR (CARTONÉ)</t>
  </si>
  <si>
    <t>ANITA SABE CONTAR (CARTONÉ)</t>
  </si>
  <si>
    <t>AÑO DE CUMPLEAÑOS, UN</t>
  </si>
  <si>
    <t>NOVEDAD OCT 2022</t>
  </si>
  <si>
    <t>BELISARIO Y EL VIOLIN</t>
  </si>
  <si>
    <t>BELLA MIREYA, LA</t>
  </si>
  <si>
    <t>NOVEDAD 2021</t>
  </si>
  <si>
    <t>CABALLO QUE NO SABIA RELINCHAR, EL</t>
  </si>
  <si>
    <t>CABALLO QUE TENIA UN SUEÑO, EL</t>
  </si>
  <si>
    <t>CARTAS AL REY DE LA CABINA</t>
  </si>
  <si>
    <t>CELESTE Y EL GIRASOL</t>
  </si>
  <si>
    <t>CELESTE Y EL LAPACHO QUE NO FLORECIA</t>
  </si>
  <si>
    <t>CELESTE Y EL PITOGÜÉ</t>
  </si>
  <si>
    <t>CELESTE Y LA DINOSAURIA EN EL JARDIN</t>
  </si>
  <si>
    <t>CINTHIA SCOCH - EL LIBRO DE LA RISA</t>
  </si>
  <si>
    <t>COSITOS</t>
  </si>
  <si>
    <t>CUATRO CALLES Y UN PROBLEMA</t>
  </si>
  <si>
    <t>NOVEDAD 2023</t>
  </si>
  <si>
    <t>DE CARTA EN CARTA</t>
  </si>
  <si>
    <t>MACHADO, ANA MARIA</t>
  </si>
  <si>
    <t>DESDE EL OJO DEL PEZ</t>
  </si>
  <si>
    <t>DETECTIVES EN CORDOBA</t>
  </si>
  <si>
    <t>DETECTIVES EN RECOLETA</t>
  </si>
  <si>
    <t>DISPARATARIO</t>
  </si>
  <si>
    <t>EL COMPLOT DE LAS FLORES</t>
  </si>
  <si>
    <t>EL LIBRO QUE CANTA</t>
  </si>
  <si>
    <t>EL RATÓN GARCÍA</t>
  </si>
  <si>
    <t>ESPEJO DISTRAIDO, EL</t>
  </si>
  <si>
    <t>FANTASMA DE CANTERVILLE, EL</t>
  </si>
  <si>
    <t>WILDE, OSCAR</t>
  </si>
  <si>
    <t>FRANKENSTEIN</t>
  </si>
  <si>
    <t>SHELLEY, MARY W.</t>
  </si>
  <si>
    <t>GLOBO AZUL, EL</t>
  </si>
  <si>
    <t>HISTORIAS DEL REY ARTURO</t>
  </si>
  <si>
    <t>HOMBRE INVISIBLE, EL</t>
  </si>
  <si>
    <t>WELLS, H.G.</t>
  </si>
  <si>
    <t>ISLA DEL TESORO. LA</t>
  </si>
  <si>
    <t>JUANITO Y LA LUNA</t>
  </si>
  <si>
    <t>LA BALLENA QUE COMIÓ PIRATAS</t>
  </si>
  <si>
    <t>LA ROSA DE LOS VIENTOS</t>
  </si>
  <si>
    <t>LEYENDO LEYENDAS</t>
  </si>
  <si>
    <t>MAGAS, LAS</t>
  </si>
  <si>
    <t>MAR CRUZADO</t>
  </si>
  <si>
    <t>MAR EN LA PIEDRA, EL</t>
  </si>
  <si>
    <t>MEJORES RELATOS DE ROALD DAHL, LOS</t>
  </si>
  <si>
    <t>MUNDO DE CINTHIA SCOCH, EL</t>
  </si>
  <si>
    <t>PURO OJOS</t>
  </si>
  <si>
    <t>RELATOS ESCALOFRIANTES</t>
  </si>
  <si>
    <t>SUPERGATO</t>
  </si>
  <si>
    <t>TERROR EN LA CIUDAD</t>
  </si>
  <si>
    <t>PEDROZO, SEBASTIAN</t>
  </si>
  <si>
    <t>TINCHO FIERRO, EL</t>
  </si>
  <si>
    <t>TINKE-TINKE</t>
  </si>
  <si>
    <t>TOMASITO Y LAS PALABRAS</t>
  </si>
  <si>
    <t>TRES CHICOS MUY VALIENTES</t>
  </si>
  <si>
    <t>VENGANZA DEL TIGRE AZUL, LA</t>
  </si>
  <si>
    <t>GONZALEZ, EDUARDO</t>
  </si>
  <si>
    <t>YO, RATON</t>
  </si>
  <si>
    <t>COMBO 40 AÑOS DE DEMOCRACIA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</si>
</sst>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[$$-2C0A]\ #,##0.00"/>
    <numFmt numFmtId="185" formatCode="&quot;$&quot;\ #,##0.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C0A]dddd\,\ dd&quot; de &quot;mmmm&quot; de &quot;yyyy"/>
    <numFmt numFmtId="191" formatCode="[$-2C0A]hh:mm:ss\ AM/PM"/>
    <numFmt numFmtId="192" formatCode="&quot;$&quot;\ #,##0"/>
    <numFmt numFmtId="193" formatCode="_ [$$-2C0A]\ * #,##0.00_ ;_ [$$-2C0A]\ * \-#,##0.00_ ;_ [$$-2C0A]\ * &quot;-&quot;_ ;_ @_ "/>
    <numFmt numFmtId="194" formatCode="dd\-mmm\-yy;@"/>
    <numFmt numFmtId="195" formatCode="&quot;$&quot;#,##0"/>
    <numFmt numFmtId="196" formatCode="_-* #,##0.00\ _€_-;\-* #,##0.00\ _€_-;_-* &quot;-&quot;??\ _€_-;_-@_-"/>
    <numFmt numFmtId="197" formatCode="0.0%"/>
    <numFmt numFmtId="198" formatCode="#,##0.0"/>
    <numFmt numFmtId="199" formatCode="0_ ;[Red]\-0\ "/>
    <numFmt numFmtId="200" formatCode="0_ ;\-0\ "/>
    <numFmt numFmtId="201" formatCode="d\-m;@"/>
    <numFmt numFmtId="202" formatCode="&quot;$&quot;#,##0_);[Red]\(&quot;$&quot;#,##0\)"/>
    <numFmt numFmtId="203" formatCode="#,##0\ [$$-2C0A]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3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30"/>
      <name val="Calibri"/>
      <family val="2"/>
    </font>
    <font>
      <u val="single"/>
      <sz val="10"/>
      <color indexed="30"/>
      <name val="Calibri"/>
      <family val="2"/>
    </font>
    <font>
      <sz val="9"/>
      <color indexed="30"/>
      <name val="Calibri"/>
      <family val="2"/>
    </font>
    <font>
      <sz val="10"/>
      <name val="Calibri"/>
      <family val="2"/>
    </font>
    <font>
      <u val="single"/>
      <sz val="9"/>
      <color indexed="30"/>
      <name val="Calibri"/>
      <family val="2"/>
    </font>
    <font>
      <b/>
      <sz val="8"/>
      <color indexed="30"/>
      <name val="Calibri"/>
      <family val="2"/>
    </font>
    <font>
      <b/>
      <sz val="8"/>
      <color indexed="62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30"/>
      <name val="Calibri"/>
      <family val="2"/>
    </font>
    <font>
      <b/>
      <sz val="9"/>
      <color indexed="9"/>
      <name val="Arial"/>
      <family val="2"/>
    </font>
    <font>
      <b/>
      <sz val="9"/>
      <color indexed="9"/>
      <name val="Calibri"/>
      <family val="2"/>
    </font>
    <font>
      <b/>
      <sz val="9"/>
      <color indexed="8"/>
      <name val="Times New Roman"/>
      <family val="1"/>
    </font>
    <font>
      <b/>
      <sz val="8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u val="single"/>
      <sz val="10"/>
      <color theme="10"/>
      <name val="Calibri"/>
      <family val="2"/>
    </font>
    <font>
      <u val="single"/>
      <sz val="10"/>
      <color theme="10"/>
      <name val="Calibri"/>
      <family val="2"/>
    </font>
    <font>
      <sz val="9"/>
      <color rgb="FF0070C0"/>
      <name val="Calibri"/>
      <family val="2"/>
    </font>
    <font>
      <u val="single"/>
      <sz val="9"/>
      <color rgb="FF0070C0"/>
      <name val="Calibri"/>
      <family val="2"/>
    </font>
    <font>
      <b/>
      <sz val="8"/>
      <color rgb="FF0070C0"/>
      <name val="Calibri"/>
      <family val="2"/>
    </font>
    <font>
      <b/>
      <sz val="8"/>
      <color theme="8"/>
      <name val="Calibri"/>
      <family val="2"/>
    </font>
    <font>
      <b/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</font>
    <font>
      <b/>
      <sz val="9"/>
      <color theme="1"/>
      <name val="Times New Roman"/>
      <family val="1"/>
    </font>
    <font>
      <b/>
      <sz val="8"/>
      <color theme="0"/>
      <name val="Calibri"/>
      <family val="2"/>
    </font>
    <font>
      <u val="single"/>
      <sz val="9"/>
      <color theme="1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6" fontId="54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1" fontId="23" fillId="0" borderId="0" xfId="0" applyNumberFormat="1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62" fillId="0" borderId="0" xfId="0" applyFont="1" applyFill="1" applyAlignment="1">
      <alignment/>
    </xf>
    <xf numFmtId="0" fontId="64" fillId="0" borderId="0" xfId="0" applyFont="1" applyAlignment="1">
      <alignment/>
    </xf>
    <xf numFmtId="184" fontId="65" fillId="0" borderId="0" xfId="46" applyNumberFormat="1" applyFont="1" applyFill="1" applyBorder="1" applyAlignment="1">
      <alignment horizontal="left" vertical="center"/>
    </xf>
    <xf numFmtId="184" fontId="66" fillId="0" borderId="0" xfId="46" applyNumberFormat="1" applyFont="1" applyFill="1" applyBorder="1" applyAlignment="1">
      <alignment horizontal="left" vertical="center"/>
    </xf>
    <xf numFmtId="1" fontId="62" fillId="0" borderId="0" xfId="0" applyNumberFormat="1" applyFont="1" applyAlignment="1">
      <alignment/>
    </xf>
    <xf numFmtId="0" fontId="67" fillId="0" borderId="0" xfId="0" applyFont="1" applyAlignment="1">
      <alignment horizontal="center"/>
    </xf>
    <xf numFmtId="192" fontId="26" fillId="0" borderId="10" xfId="52" applyNumberFormat="1" applyFont="1" applyFill="1" applyBorder="1" applyAlignment="1">
      <alignment horizontal="center" vertical="center" wrapText="1"/>
    </xf>
    <xf numFmtId="192" fontId="62" fillId="0" borderId="0" xfId="0" applyNumberFormat="1" applyFont="1" applyAlignment="1">
      <alignment/>
    </xf>
    <xf numFmtId="192" fontId="31" fillId="0" borderId="0" xfId="0" applyNumberFormat="1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4" fillId="0" borderId="0" xfId="0" applyFont="1" applyFill="1" applyAlignment="1">
      <alignment wrapText="1"/>
    </xf>
    <xf numFmtId="0" fontId="69" fillId="0" borderId="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0" fontId="70" fillId="8" borderId="10" xfId="0" applyFont="1" applyFill="1" applyBorder="1" applyAlignment="1">
      <alignment horizontal="center"/>
    </xf>
    <xf numFmtId="1" fontId="35" fillId="8" borderId="10" xfId="0" applyNumberFormat="1" applyFont="1" applyFill="1" applyBorder="1" applyAlignment="1">
      <alignment horizontal="left" vertical="center" wrapText="1"/>
    </xf>
    <xf numFmtId="0" fontId="71" fillId="8" borderId="10" xfId="0" applyFont="1" applyFill="1" applyBorder="1" applyAlignment="1">
      <alignment horizontal="left" vertical="center" wrapText="1"/>
    </xf>
    <xf numFmtId="0" fontId="35" fillId="8" borderId="10" xfId="0" applyFont="1" applyFill="1" applyBorder="1" applyAlignment="1">
      <alignment horizontal="left" vertical="center" wrapText="1"/>
    </xf>
    <xf numFmtId="49" fontId="71" fillId="8" borderId="10" xfId="0" applyNumberFormat="1" applyFont="1" applyFill="1" applyBorder="1" applyAlignment="1">
      <alignment horizontal="left" vertical="center" wrapText="1"/>
    </xf>
    <xf numFmtId="192" fontId="71" fillId="8" borderId="10" xfId="0" applyNumberFormat="1" applyFont="1" applyFill="1" applyBorder="1" applyAlignment="1">
      <alignment horizontal="center" vertical="center" wrapText="1"/>
    </xf>
    <xf numFmtId="192" fontId="26" fillId="0" borderId="10" xfId="0" applyNumberFormat="1" applyFont="1" applyBorder="1" applyAlignment="1">
      <alignment horizontal="center" vertical="center"/>
    </xf>
    <xf numFmtId="192" fontId="26" fillId="0" borderId="10" xfId="52" applyNumberFormat="1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2" fillId="8" borderId="10" xfId="0" applyFont="1" applyFill="1" applyBorder="1" applyAlignment="1">
      <alignment horizontal="center"/>
    </xf>
    <xf numFmtId="1" fontId="35" fillId="8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185" fontId="73" fillId="33" borderId="10" xfId="0" applyNumberFormat="1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 wrapText="1"/>
    </xf>
    <xf numFmtId="1" fontId="74" fillId="34" borderId="10" xfId="0" applyNumberFormat="1" applyFont="1" applyFill="1" applyBorder="1" applyAlignment="1">
      <alignment horizontal="center" vertical="center" wrapText="1"/>
    </xf>
    <xf numFmtId="185" fontId="74" fillId="34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75" fillId="0" borderId="0" xfId="0" applyFont="1" applyAlignment="1">
      <alignment horizontal="left"/>
    </xf>
    <xf numFmtId="0" fontId="74" fillId="33" borderId="0" xfId="0" applyFont="1" applyFill="1" applyAlignment="1">
      <alignment/>
    </xf>
    <xf numFmtId="0" fontId="74" fillId="33" borderId="0" xfId="0" applyFont="1" applyFill="1" applyAlignment="1">
      <alignment horizontal="center"/>
    </xf>
    <xf numFmtId="0" fontId="74" fillId="33" borderId="0" xfId="0" applyFont="1" applyFill="1" applyAlignment="1">
      <alignment horizontal="right"/>
    </xf>
    <xf numFmtId="0" fontId="74" fillId="33" borderId="0" xfId="0" applyFont="1" applyFill="1" applyAlignment="1">
      <alignment horizontal="center" vertical="center"/>
    </xf>
    <xf numFmtId="184" fontId="74" fillId="33" borderId="0" xfId="0" applyNumberFormat="1" applyFont="1" applyFill="1" applyAlignment="1">
      <alignment horizontal="left" vertical="center"/>
    </xf>
    <xf numFmtId="0" fontId="62" fillId="35" borderId="0" xfId="0" applyFont="1" applyFill="1" applyAlignment="1">
      <alignment/>
    </xf>
    <xf numFmtId="1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center" vertical="center"/>
    </xf>
    <xf numFmtId="0" fontId="76" fillId="34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left" vertical="center"/>
    </xf>
    <xf numFmtId="1" fontId="62" fillId="0" borderId="10" xfId="0" applyNumberFormat="1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49" fontId="62" fillId="0" borderId="10" xfId="0" applyNumberFormat="1" applyFont="1" applyBorder="1" applyAlignment="1">
      <alignment horizontal="left" vertical="center" wrapText="1"/>
    </xf>
    <xf numFmtId="0" fontId="77" fillId="8" borderId="10" xfId="46" applyFont="1" applyFill="1" applyBorder="1" applyAlignment="1">
      <alignment horizontal="center"/>
    </xf>
    <xf numFmtId="0" fontId="62" fillId="0" borderId="10" xfId="0" applyFont="1" applyBorder="1" applyAlignment="1">
      <alignment vertical="center"/>
    </xf>
    <xf numFmtId="185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1" fontId="26" fillId="0" borderId="10" xfId="0" applyNumberFormat="1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0" fontId="78" fillId="34" borderId="0" xfId="0" applyFont="1" applyFill="1" applyAlignment="1">
      <alignment/>
    </xf>
    <xf numFmtId="1" fontId="78" fillId="34" borderId="0" xfId="0" applyNumberFormat="1" applyFont="1" applyFill="1" applyAlignment="1">
      <alignment/>
    </xf>
    <xf numFmtId="192" fontId="78" fillId="34" borderId="0" xfId="0" applyNumberFormat="1" applyFont="1" applyFill="1" applyAlignment="1">
      <alignment/>
    </xf>
    <xf numFmtId="0" fontId="78" fillId="34" borderId="0" xfId="0" applyFont="1" applyFill="1" applyAlignment="1">
      <alignment horizontal="center"/>
    </xf>
    <xf numFmtId="0" fontId="26" fillId="8" borderId="10" xfId="0" applyFont="1" applyFill="1" applyBorder="1" applyAlignment="1">
      <alignment horizontal="left" vertical="center"/>
    </xf>
    <xf numFmtId="1" fontId="26" fillId="8" borderId="10" xfId="0" applyNumberFormat="1" applyFont="1" applyFill="1" applyBorder="1" applyAlignment="1">
      <alignment horizontal="left" vertical="center"/>
    </xf>
    <xf numFmtId="1" fontId="26" fillId="8" borderId="10" xfId="0" applyNumberFormat="1" applyFont="1" applyFill="1" applyBorder="1" applyAlignment="1">
      <alignment horizontal="center" vertical="center"/>
    </xf>
    <xf numFmtId="0" fontId="70" fillId="8" borderId="10" xfId="0" applyFont="1" applyFill="1" applyBorder="1" applyAlignment="1">
      <alignment horizontal="center" vertical="center"/>
    </xf>
    <xf numFmtId="0" fontId="68" fillId="8" borderId="10" xfId="0" applyFont="1" applyFill="1" applyBorder="1" applyAlignment="1">
      <alignment horizontal="center"/>
    </xf>
    <xf numFmtId="192" fontId="71" fillId="8" borderId="11" xfId="0" applyNumberFormat="1" applyFont="1" applyFill="1" applyBorder="1" applyAlignment="1">
      <alignment horizontal="center" vertical="center"/>
    </xf>
    <xf numFmtId="192" fontId="71" fillId="8" borderId="12" xfId="0" applyNumberFormat="1" applyFont="1" applyFill="1" applyBorder="1" applyAlignment="1">
      <alignment horizontal="center" vertical="center"/>
    </xf>
    <xf numFmtId="1" fontId="35" fillId="8" borderId="13" xfId="0" applyNumberFormat="1" applyFont="1" applyFill="1" applyBorder="1" applyAlignment="1">
      <alignment horizontal="center" vertical="center" wrapText="1"/>
    </xf>
    <xf numFmtId="1" fontId="35" fillId="8" borderId="14" xfId="0" applyNumberFormat="1" applyFont="1" applyFill="1" applyBorder="1" applyAlignment="1">
      <alignment horizontal="center" vertical="center" wrapText="1"/>
    </xf>
    <xf numFmtId="1" fontId="35" fillId="8" borderId="15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 2" xfId="56"/>
    <cellStyle name="Normal 3" xfId="57"/>
    <cellStyle name="Notas" xfId="58"/>
    <cellStyle name="Percent" xfId="59"/>
    <cellStyle name="Porcentaje 2" xfId="60"/>
    <cellStyle name="Porcentual 2 2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123825</xdr:rowOff>
    </xdr:from>
    <xdr:to>
      <xdr:col>1</xdr:col>
      <xdr:colOff>609600</xdr:colOff>
      <xdr:row>5</xdr:row>
      <xdr:rowOff>66675</xdr:rowOff>
    </xdr:to>
    <xdr:pic>
      <xdr:nvPicPr>
        <xdr:cNvPr id="1" name="Imagen 6" descr="Resultado de imagen para logo de loquel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476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oqueleo.com/ar/libro/donde-esta-mi-tesoro" TargetMode="External" /><Relationship Id="rId2" Type="http://schemas.openxmlformats.org/officeDocument/2006/relationships/hyperlink" Target="https://www.loqueleo.com/ar/libro/anita-se-mueve" TargetMode="External" /><Relationship Id="rId3" Type="http://schemas.openxmlformats.org/officeDocument/2006/relationships/hyperlink" Target="https://www.loqueleo.com/ar/libros?query=anastasio" TargetMode="External" /><Relationship Id="rId4" Type="http://schemas.openxmlformats.org/officeDocument/2006/relationships/hyperlink" Target="https://www.loqueleo.com/ar/libro/buenas-noches" TargetMode="External" /><Relationship Id="rId5" Type="http://schemas.openxmlformats.org/officeDocument/2006/relationships/hyperlink" Target="https://www.loqueleo.com/ar/libro/habia-una-vez-una-llave" TargetMode="External" /><Relationship Id="rId6" Type="http://schemas.openxmlformats.org/officeDocument/2006/relationships/hyperlink" Target="https://www.loqueleo.com/ar/libro/las-brujas" TargetMode="External" /><Relationship Id="rId7" Type="http://schemas.openxmlformats.org/officeDocument/2006/relationships/hyperlink" Target="https://www.loqueleo.com/ar/libro/natacha-1" TargetMode="External" /><Relationship Id="rId8" Type="http://schemas.openxmlformats.org/officeDocument/2006/relationships/hyperlink" Target="https://www.loqueleo.com/ar/libro/pateando-lunas" TargetMode="External" /><Relationship Id="rId9" Type="http://schemas.openxmlformats.org/officeDocument/2006/relationships/hyperlink" Target="https://www.loqueleo.com/ar/libro/la-rebelion-de-las-palabras" TargetMode="External" /><Relationship Id="rId10" Type="http://schemas.openxmlformats.org/officeDocument/2006/relationships/hyperlink" Target="https://www.loqueleo.com/ar/libro/las-aventuras-del-sapo-ruperto" TargetMode="External" /><Relationship Id="rId11" Type="http://schemas.openxmlformats.org/officeDocument/2006/relationships/hyperlink" Target="https://www.loqueleo.com/ar/libro/babu" TargetMode="External" /><Relationship Id="rId12" Type="http://schemas.openxmlformats.org/officeDocument/2006/relationships/hyperlink" Target="https://www.loqueleo.com/ar/libro/un-elefante-ocupa-mucho-espacio" TargetMode="External" /><Relationship Id="rId13" Type="http://schemas.openxmlformats.org/officeDocument/2006/relationships/hyperlink" Target="https://www.loqueleo.com/ar/libro/lisa-de-los-paraguas" TargetMode="External" /><Relationship Id="rId14" Type="http://schemas.openxmlformats.org/officeDocument/2006/relationships/hyperlink" Target="https://www.loqueleo.com/ar/libro/el-camino-de-sherlock" TargetMode="External" /><Relationship Id="rId15" Type="http://schemas.openxmlformats.org/officeDocument/2006/relationships/hyperlink" Target="https://www.loqueleo.com/ar/libro/charlie-y-la-fabrica-de-chocolate" TargetMode="External" /><Relationship Id="rId16" Type="http://schemas.openxmlformats.org/officeDocument/2006/relationships/hyperlink" Target="https://www.loqueleo.com/ar/libro/matilda" TargetMode="External" /><Relationship Id="rId17" Type="http://schemas.openxmlformats.org/officeDocument/2006/relationships/hyperlink" Target="https://www.loqueleo.com/ar/libro/el-lobo-rodolfo" TargetMode="External" /><Relationship Id="rId18" Type="http://schemas.openxmlformats.org/officeDocument/2006/relationships/hyperlink" Target="https://www.loqueleo.com/ar/libro/canciones-y-cuentos-de-cuna-para-cantar-y-contar-antes-de-ir-a-dormir-" TargetMode="External" /><Relationship Id="rId19" Type="http://schemas.openxmlformats.org/officeDocument/2006/relationships/hyperlink" Target="https://www.loqueleo.com/ar/libro/cuentos-de-la-selva" TargetMode="External" /><Relationship Id="rId20" Type="http://schemas.openxmlformats.org/officeDocument/2006/relationships/hyperlink" Target="https://www.loqueleo.com/ar/libro/lobo-rojo-y-caperucita-feroz" TargetMode="External" /><Relationship Id="rId21" Type="http://schemas.openxmlformats.org/officeDocument/2006/relationships/hyperlink" Target="https://www.loqueleo.com/ar/libro/las-magas" TargetMode="External" /><Relationship Id="rId22" Type="http://schemas.openxmlformats.org/officeDocument/2006/relationships/hyperlink" Target="https://www.loqueleo.com/ar/libro/buenisimo-natacha-" TargetMode="External" /><Relationship Id="rId23" Type="http://schemas.openxmlformats.org/officeDocument/2006/relationships/hyperlink" Target="https://www.loqueleo.com/ar/libro/socorro" TargetMode="External" /><Relationship Id="rId24" Type="http://schemas.openxmlformats.org/officeDocument/2006/relationships/hyperlink" Target="https://www.loqueleo.com/ar/libro/el-ultimo-espia" TargetMode="External" /><Relationship Id="rId25" Type="http://schemas.openxmlformats.org/officeDocument/2006/relationships/hyperlink" Target="https://www.loqueleo.com/ar/libro/tonio-y-tux-1" TargetMode="External" /><Relationship Id="rId26" Type="http://schemas.openxmlformats.org/officeDocument/2006/relationships/hyperlink" Target="https://www.loqueleo.com/ar/libro/la-torre-de-cubos" TargetMode="External" /><Relationship Id="rId27" Type="http://schemas.openxmlformats.org/officeDocument/2006/relationships/hyperlink" Target="https://www.loqueleo.com/ar/libro/las-velas-malditas" TargetMode="External" /><Relationship Id="rId28" Type="http://schemas.openxmlformats.org/officeDocument/2006/relationships/hyperlink" Target="https://www.loqueleo.com/ar/libro/treinta-y-cuatro-lauchitas" TargetMode="External" /><Relationship Id="rId29" Type="http://schemas.openxmlformats.org/officeDocument/2006/relationships/hyperlink" Target="https://www.loqueleo.com/ar/libro/una-trenza-tan-larga" TargetMode="External" /><Relationship Id="rId30" Type="http://schemas.openxmlformats.org/officeDocument/2006/relationships/hyperlink" Target="https://www.loqueleo.com/ar/libro/la-verdadera-historia-del-raton-feroz" TargetMode="External" /><Relationship Id="rId31" Type="http://schemas.openxmlformats.org/officeDocument/2006/relationships/hyperlink" Target="https://www.loqueleo.com/ar/libro/la-casa-maldita-1" TargetMode="External" /><Relationship Id="rId32" Type="http://schemas.openxmlformats.org/officeDocument/2006/relationships/hyperlink" Target="https://www.loqueleo.com/ar/libro/el-retrato-de-veronica-g" TargetMode="External" /><Relationship Id="rId33" Type="http://schemas.openxmlformats.org/officeDocument/2006/relationships/hyperlink" Target="https://www.loqueleo.com/ar/libro/rodolfo-quiere-nadar" TargetMode="External" /><Relationship Id="rId34" Type="http://schemas.openxmlformats.org/officeDocument/2006/relationships/hyperlink" Target="https://www.loqueleo.com/ar/libro/tonio-y-tux.-al-ataque" TargetMode="External" /><Relationship Id="rId35" Type="http://schemas.openxmlformats.org/officeDocument/2006/relationships/hyperlink" Target="https://www.loqueleo.com/ar/libro/la-desobediente" TargetMode="External" /><Relationship Id="rId36" Type="http://schemas.openxmlformats.org/officeDocument/2006/relationships/hyperlink" Target="https://www.loqueleo.com/ar/libro/la-flor-de-la-maleza" TargetMode="External" /><Relationship Id="rId37" Type="http://schemas.openxmlformats.org/officeDocument/2006/relationships/hyperlink" Target="https://www.loqueleo.com/ar/libro/historia-de-tres-banderas" TargetMode="External" /><Relationship Id="rId38" Type="http://schemas.openxmlformats.org/officeDocument/2006/relationships/hyperlink" Target="https://www.loqueleo.com/ar/libro/hotel-acantilado" TargetMode="External" /><Relationship Id="rId39" Type="http://schemas.openxmlformats.org/officeDocument/2006/relationships/hyperlink" Target="https://www.loqueleo.com/ar/libro/el-mar-que-nos-trajo" TargetMode="External" /><Relationship Id="rId40" Type="http://schemas.openxmlformats.org/officeDocument/2006/relationships/hyperlink" Target="https://www.loqueleo.com/ar/libro/no-lo-olvides-suyay" TargetMode="External" /><Relationship Id="rId41" Type="http://schemas.openxmlformats.org/officeDocument/2006/relationships/hyperlink" Target="https://www.loqueleo.com/ar/libro/pequenas-historias-de-mi-pais" TargetMode="External" /><Relationship Id="rId42" Type="http://schemas.openxmlformats.org/officeDocument/2006/relationships/hyperlink" Target="https://www.loqueleo.com/ar/libro/dada-pasea" TargetMode="External" /><Relationship Id="rId43" Type="http://schemas.openxmlformats.org/officeDocument/2006/relationships/hyperlink" Target="https://www.loqueleo.com/ar/libro/dada-se-bana" TargetMode="External" /><Relationship Id="rId44" Type="http://schemas.openxmlformats.org/officeDocument/2006/relationships/hyperlink" Target="https://www.loqueleo.com/ar/libro/dada-suena" TargetMode="External" /><Relationship Id="rId45" Type="http://schemas.openxmlformats.org/officeDocument/2006/relationships/hyperlink" Target="https://www.loqueleo.com/ar/libro/mientras-te-esperamos" TargetMode="External" /><Relationship Id="rId46" Type="http://schemas.openxmlformats.org/officeDocument/2006/relationships/hyperlink" Target="https://www.loqueleo.com/ar/libro/botiquin-emocional" TargetMode="External" /><Relationship Id="rId47" Type="http://schemas.openxmlformats.org/officeDocument/2006/relationships/hyperlink" Target="https://www.loqueleo.com/ar/libro/la-tia-la-guerra" TargetMode="External" /><Relationship Id="rId48" Type="http://schemas.openxmlformats.org/officeDocument/2006/relationships/hyperlink" Target="https://www.loqueleo.com/ar/libro/el-cuento.-un-elefante-ocupa-mucho-espacio" TargetMode="External" /><Relationship Id="rId49" Type="http://schemas.openxmlformats.org/officeDocument/2006/relationships/hyperlink" Target="https://www.loqueleo.com/ar/libro/donde-se-acaba-el-viento" TargetMode="External" /><Relationship Id="rId50" Type="http://schemas.openxmlformats.org/officeDocument/2006/relationships/hyperlink" Target="https://www.loqueleo.com/ar/libro/ruidos-monstruosos" TargetMode="External" /><Relationship Id="rId51" Type="http://schemas.openxmlformats.org/officeDocument/2006/relationships/hyperlink" Target="https://www.loqueleo.com/ar/libro/el-monstruo-que-va-a-comerse-el-mundo" TargetMode="External" /><Relationship Id="rId52" Type="http://schemas.openxmlformats.org/officeDocument/2006/relationships/hyperlink" Target="https://www.loqueleo.com/ar/libro/kanina" TargetMode="External" /><Relationship Id="rId53" Type="http://schemas.openxmlformats.org/officeDocument/2006/relationships/hyperlink" Target="https://www.loqueleo.com/ar/libro/adios-chester-binder" TargetMode="External" /><Relationship Id="rId54" Type="http://schemas.openxmlformats.org/officeDocument/2006/relationships/hyperlink" Target="https://www.loqueleo.com/ar/libro/las-otras-islas" TargetMode="External" /><Relationship Id="rId55" Type="http://schemas.openxmlformats.org/officeDocument/2006/relationships/hyperlink" Target="https://www.loqueleo.com/ar/libro/un-ano-de-cumpleanos" TargetMode="External" /><Relationship Id="rId56" Type="http://schemas.openxmlformats.org/officeDocument/2006/relationships/hyperlink" Target="https://www.loqueleo.com/ar/libro/la-bella-mireya" TargetMode="External" /><Relationship Id="rId57" Type="http://schemas.openxmlformats.org/officeDocument/2006/relationships/hyperlink" Target="https://www.loqueleo.com/ar/libro/historias-del-rey-arturo-y-los-caballeros-de-la-mesa-redonda" TargetMode="External" /><Relationship Id="rId58" Type="http://schemas.openxmlformats.org/officeDocument/2006/relationships/hyperlink" Target="https://www.loqueleo.com/ar/libro/el-tincho-fierro" TargetMode="External" /><Relationship Id="rId59" Type="http://schemas.openxmlformats.org/officeDocument/2006/relationships/hyperlink" Target="https://www.loqueleo.com/ar/libro/cuatro-calles-y-un-problema" TargetMode="External" /><Relationship Id="rId60" Type="http://schemas.openxmlformats.org/officeDocument/2006/relationships/hyperlink" Target="https://www.loqueleo.com/ar/libro/el-complot-de-las-flores" TargetMode="External" /><Relationship Id="rId61" Type="http://schemas.openxmlformats.org/officeDocument/2006/relationships/hyperlink" Target="https://www.loqueleo.com/ar/libro/el-raton-garcia" TargetMode="External" /><Relationship Id="rId62" Type="http://schemas.openxmlformats.org/officeDocument/2006/relationships/hyperlink" Target="https://www.loqueleo.com/ar/libro/la-ballena-que-comio-piratas" TargetMode="External" /><Relationship Id="rId63" Type="http://schemas.openxmlformats.org/officeDocument/2006/relationships/hyperlink" Target="https://www.loqueleo.com/ar/libro/la-rosa-de-los-vientos" TargetMode="External" /><Relationship Id="rId64" Type="http://schemas.openxmlformats.org/officeDocument/2006/relationships/hyperlink" Target="https://www.loqueleo.com/ar/libro/supergato" TargetMode="External" /><Relationship Id="rId65" Type="http://schemas.openxmlformats.org/officeDocument/2006/relationships/hyperlink" Target="https://www.loqueleo.com/ar/libro/el-cuento.-un-elefante-ocupa-mucho-espacio" TargetMode="External" /><Relationship Id="rId66" Type="http://schemas.openxmlformats.org/officeDocument/2006/relationships/hyperlink" Target="https://www.loqueleo.com/ar/libro/un-elefante-ocupa-mucho-espacio" TargetMode="Externa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.8515625" style="3" bestFit="1" customWidth="1"/>
    <col min="2" max="2" width="12.140625" style="11" bestFit="1" customWidth="1"/>
    <col min="3" max="3" width="10.00390625" style="3" bestFit="1" customWidth="1"/>
    <col min="4" max="4" width="42.140625" style="3" customWidth="1"/>
    <col min="5" max="5" width="20.8515625" style="3" customWidth="1"/>
    <col min="6" max="6" width="21.28125" style="3" bestFit="1" customWidth="1"/>
    <col min="7" max="7" width="7.00390625" style="14" bestFit="1" customWidth="1"/>
    <col min="8" max="8" width="8.421875" style="14" bestFit="1" customWidth="1"/>
    <col min="9" max="9" width="7.8515625" style="31" bestFit="1" customWidth="1"/>
    <col min="10" max="10" width="14.7109375" style="19" bestFit="1" customWidth="1"/>
    <col min="11" max="11" width="7.8515625" style="12" customWidth="1"/>
    <col min="12" max="12" width="10.28125" style="31" bestFit="1" customWidth="1"/>
    <col min="13" max="16384" width="11.421875" style="3" customWidth="1"/>
  </cols>
  <sheetData>
    <row r="1" spans="1:12" s="8" customFormat="1" ht="12.75">
      <c r="A1" s="3"/>
      <c r="B1" s="3"/>
      <c r="C1" s="36" t="s">
        <v>476</v>
      </c>
      <c r="D1" s="3"/>
      <c r="E1" s="37"/>
      <c r="F1" s="3"/>
      <c r="G1" s="36" t="s">
        <v>477</v>
      </c>
      <c r="H1" s="36"/>
      <c r="I1" s="3"/>
      <c r="J1" s="3"/>
      <c r="K1" s="12"/>
      <c r="L1" s="3"/>
    </row>
    <row r="2" spans="1:12" s="8" customFormat="1" ht="12.75">
      <c r="A2" s="3"/>
      <c r="B2" s="3"/>
      <c r="C2" s="36" t="s">
        <v>478</v>
      </c>
      <c r="D2" s="3"/>
      <c r="E2" s="37"/>
      <c r="F2" s="3"/>
      <c r="G2" s="36" t="s">
        <v>479</v>
      </c>
      <c r="H2" s="36"/>
      <c r="I2" s="3"/>
      <c r="J2" s="3"/>
      <c r="K2" s="12"/>
      <c r="L2" s="3"/>
    </row>
    <row r="3" spans="1:12" s="8" customFormat="1" ht="12.75">
      <c r="A3" s="3"/>
      <c r="B3" s="3"/>
      <c r="C3" s="3"/>
      <c r="D3" s="11"/>
      <c r="E3" s="3"/>
      <c r="F3" s="3"/>
      <c r="G3" s="3"/>
      <c r="H3" s="3"/>
      <c r="I3" s="3"/>
      <c r="J3" s="3"/>
      <c r="K3" s="12"/>
      <c r="L3" s="3"/>
    </row>
    <row r="4" spans="1:12" s="8" customFormat="1" ht="12.75">
      <c r="A4" s="43"/>
      <c r="B4" s="43"/>
      <c r="C4" s="38"/>
      <c r="D4" s="38"/>
      <c r="E4" s="38"/>
      <c r="F4" s="38"/>
      <c r="G4" s="38"/>
      <c r="H4" s="38"/>
      <c r="I4" s="38"/>
      <c r="J4" s="39"/>
      <c r="K4" s="39"/>
      <c r="L4" s="40" t="s">
        <v>480</v>
      </c>
    </row>
    <row r="5" spans="1:12" s="8" customFormat="1" ht="12.75">
      <c r="A5" s="43"/>
      <c r="B5" s="43"/>
      <c r="C5" s="38"/>
      <c r="D5" s="38"/>
      <c r="E5" s="39"/>
      <c r="F5" s="41"/>
      <c r="G5" s="42"/>
      <c r="H5" s="42"/>
      <c r="I5" s="39"/>
      <c r="J5" s="39"/>
      <c r="K5" s="39"/>
      <c r="L5" s="40" t="s">
        <v>481</v>
      </c>
    </row>
    <row r="6" spans="1:12" s="8" customFormat="1" ht="12.75">
      <c r="A6" s="2"/>
      <c r="B6" s="4"/>
      <c r="C6" s="1"/>
      <c r="D6" s="10"/>
      <c r="F6" s="9"/>
      <c r="G6" s="15"/>
      <c r="H6" s="15"/>
      <c r="I6" s="1"/>
      <c r="J6" s="18"/>
      <c r="K6" s="5"/>
      <c r="L6" s="31"/>
    </row>
    <row r="7" spans="1:12" s="17" customFormat="1" ht="24">
      <c r="A7" s="33" t="s">
        <v>0</v>
      </c>
      <c r="B7" s="34" t="s">
        <v>1</v>
      </c>
      <c r="C7" s="34" t="s">
        <v>2</v>
      </c>
      <c r="D7" s="33" t="s">
        <v>3</v>
      </c>
      <c r="E7" s="33" t="s">
        <v>4</v>
      </c>
      <c r="F7" s="33" t="s">
        <v>5</v>
      </c>
      <c r="G7" s="32" t="s">
        <v>473</v>
      </c>
      <c r="H7" s="32" t="s">
        <v>474</v>
      </c>
      <c r="I7" s="34" t="s">
        <v>389</v>
      </c>
      <c r="J7" s="35" t="s">
        <v>6</v>
      </c>
      <c r="K7" s="33" t="s">
        <v>438</v>
      </c>
      <c r="L7" s="34" t="s">
        <v>475</v>
      </c>
    </row>
    <row r="8" spans="1:12" ht="12" customHeight="1">
      <c r="A8" s="45">
        <v>61082249</v>
      </c>
      <c r="B8" s="44">
        <v>9789504655381</v>
      </c>
      <c r="C8" s="44" t="s">
        <v>8</v>
      </c>
      <c r="D8" s="45" t="s">
        <v>482</v>
      </c>
      <c r="E8" s="45" t="s">
        <v>19</v>
      </c>
      <c r="F8" s="45" t="s">
        <v>461</v>
      </c>
      <c r="G8" s="26">
        <v>2200</v>
      </c>
      <c r="H8" s="26">
        <f>+G8/2</f>
        <v>1100</v>
      </c>
      <c r="I8" s="56"/>
      <c r="J8" s="46"/>
      <c r="K8" s="16" t="str">
        <f>HYPERLINK("https://www.loqueleo.com/ar/libro/que-asco-de-bichos","VER")</f>
        <v>VER</v>
      </c>
      <c r="L8" s="56">
        <v>2016</v>
      </c>
    </row>
    <row r="9" spans="1:12" s="7" customFormat="1" ht="12" customHeight="1">
      <c r="A9" s="45">
        <v>61086692</v>
      </c>
      <c r="B9" s="44">
        <v>9789504656494</v>
      </c>
      <c r="C9" s="44" t="s">
        <v>8</v>
      </c>
      <c r="D9" s="45" t="s">
        <v>408</v>
      </c>
      <c r="E9" s="45" t="s">
        <v>30</v>
      </c>
      <c r="F9" s="45" t="s">
        <v>463</v>
      </c>
      <c r="G9" s="26">
        <v>3100</v>
      </c>
      <c r="H9" s="26">
        <f aca="true" t="shared" si="0" ref="H9:H72">+G9/2</f>
        <v>1550</v>
      </c>
      <c r="I9" s="56"/>
      <c r="J9" s="46"/>
      <c r="K9" s="16" t="str">
        <f>HYPERLINK("https://www.loqueleo.com/ar/libro/toc-toc","VER")</f>
        <v>VER</v>
      </c>
      <c r="L9" s="56">
        <v>2019</v>
      </c>
    </row>
    <row r="10" spans="1:12" ht="12" customHeight="1">
      <c r="A10" s="45">
        <v>61087285</v>
      </c>
      <c r="B10" s="44">
        <v>9789504658382</v>
      </c>
      <c r="C10" s="44" t="s">
        <v>8</v>
      </c>
      <c r="D10" s="45" t="s">
        <v>413</v>
      </c>
      <c r="E10" s="45" t="s">
        <v>56</v>
      </c>
      <c r="F10" s="45" t="s">
        <v>460</v>
      </c>
      <c r="G10" s="26">
        <v>2990</v>
      </c>
      <c r="H10" s="26">
        <f t="shared" si="0"/>
        <v>1495</v>
      </c>
      <c r="I10" s="56"/>
      <c r="J10" s="46"/>
      <c r="K10" s="16" t="str">
        <f>HYPERLINK("https://www.loqueleo.com/ar/libro/quien-quiere-ser-detective","VER")</f>
        <v>VER</v>
      </c>
      <c r="L10" s="56">
        <v>2019</v>
      </c>
    </row>
    <row r="11" spans="1:12" ht="12" customHeight="1">
      <c r="A11" s="45">
        <v>61069263</v>
      </c>
      <c r="B11" s="44">
        <v>9789504643418</v>
      </c>
      <c r="C11" s="44" t="s">
        <v>8</v>
      </c>
      <c r="D11" s="45" t="s">
        <v>9</v>
      </c>
      <c r="E11" s="45" t="s">
        <v>10</v>
      </c>
      <c r="F11" s="45" t="s">
        <v>463</v>
      </c>
      <c r="G11" s="26">
        <v>2200</v>
      </c>
      <c r="H11" s="26">
        <f t="shared" si="0"/>
        <v>1100</v>
      </c>
      <c r="I11" s="56"/>
      <c r="J11" s="46"/>
      <c r="K11" s="16" t="str">
        <f>HYPERLINK("https://www.loqueleo.com/ar/libro/a-berta-le-encanta-amasar-a-su-gato","VER")</f>
        <v>VER</v>
      </c>
      <c r="L11" s="56">
        <v>2016</v>
      </c>
    </row>
    <row r="12" spans="1:12" ht="12" customHeight="1">
      <c r="A12" s="45">
        <v>61069264</v>
      </c>
      <c r="B12" s="44">
        <v>9789504643425</v>
      </c>
      <c r="C12" s="44" t="s">
        <v>8</v>
      </c>
      <c r="D12" s="45" t="s">
        <v>483</v>
      </c>
      <c r="E12" s="45" t="s">
        <v>10</v>
      </c>
      <c r="F12" s="45" t="s">
        <v>463</v>
      </c>
      <c r="G12" s="26">
        <v>2200</v>
      </c>
      <c r="H12" s="26">
        <f t="shared" si="0"/>
        <v>1100</v>
      </c>
      <c r="I12" s="56"/>
      <c r="J12" s="46"/>
      <c r="K12" s="16" t="str">
        <f>HYPERLINK("https://www.loqueleo.com/ar/libro/a-berta-se-le-perdio-su-gato","VER")</f>
        <v>VER</v>
      </c>
      <c r="L12" s="56">
        <v>2016</v>
      </c>
    </row>
    <row r="13" spans="1:12" ht="12" customHeight="1">
      <c r="A13" s="45">
        <v>61069252</v>
      </c>
      <c r="B13" s="44">
        <v>9789504643357</v>
      </c>
      <c r="C13" s="44" t="s">
        <v>8</v>
      </c>
      <c r="D13" s="45" t="s">
        <v>13</v>
      </c>
      <c r="E13" s="45" t="s">
        <v>14</v>
      </c>
      <c r="F13" s="45" t="s">
        <v>461</v>
      </c>
      <c r="G13" s="26">
        <v>2400</v>
      </c>
      <c r="H13" s="26">
        <f t="shared" si="0"/>
        <v>1200</v>
      </c>
      <c r="I13" s="56"/>
      <c r="J13" s="46"/>
      <c r="K13" s="16" t="str">
        <f>HYPERLINK("https://www.loqueleo.com/ar/libro/a-la-rumba-luna","VER")</f>
        <v>VER</v>
      </c>
      <c r="L13" s="56">
        <v>2015</v>
      </c>
    </row>
    <row r="14" spans="1:12" ht="12" customHeight="1">
      <c r="A14" s="45">
        <v>61070111</v>
      </c>
      <c r="B14" s="44">
        <v>9789504645740</v>
      </c>
      <c r="C14" s="44" t="s">
        <v>8</v>
      </c>
      <c r="D14" s="45" t="s">
        <v>15</v>
      </c>
      <c r="E14" s="45" t="s">
        <v>16</v>
      </c>
      <c r="F14" s="45" t="s">
        <v>462</v>
      </c>
      <c r="G14" s="26">
        <v>2400</v>
      </c>
      <c r="H14" s="26">
        <f t="shared" si="0"/>
        <v>1200</v>
      </c>
      <c r="I14" s="56"/>
      <c r="J14" s="46"/>
      <c r="K14" s="16" t="str">
        <f>HYPERLINK("https://www.loqueleo.com/ar/libro/a-nadar-con-maria-ines","VER")</f>
        <v>VER</v>
      </c>
      <c r="L14" s="56">
        <v>2016</v>
      </c>
    </row>
    <row r="15" spans="1:12" ht="12" customHeight="1">
      <c r="A15" s="45">
        <v>61090326</v>
      </c>
      <c r="B15" s="44">
        <v>9789504659174</v>
      </c>
      <c r="C15" s="44" t="s">
        <v>8</v>
      </c>
      <c r="D15" s="45" t="s">
        <v>429</v>
      </c>
      <c r="E15" s="45" t="s">
        <v>71</v>
      </c>
      <c r="F15" s="45" t="s">
        <v>462</v>
      </c>
      <c r="G15" s="26">
        <v>2990</v>
      </c>
      <c r="H15" s="26">
        <f t="shared" si="0"/>
        <v>1495</v>
      </c>
      <c r="I15" s="56"/>
      <c r="J15" s="46"/>
      <c r="K15" s="16" t="str">
        <f>HYPERLINK("https://www.loqueleo.com/ar/libro/a-rosario-sin-escalas","VER")</f>
        <v>VER</v>
      </c>
      <c r="L15" s="56">
        <v>2020</v>
      </c>
    </row>
    <row r="16" spans="1:12" ht="12" customHeight="1">
      <c r="A16" s="45">
        <v>61070000</v>
      </c>
      <c r="B16" s="44">
        <v>9789504646129</v>
      </c>
      <c r="C16" s="44" t="s">
        <v>8</v>
      </c>
      <c r="D16" s="45" t="s">
        <v>17</v>
      </c>
      <c r="E16" s="45" t="s">
        <v>18</v>
      </c>
      <c r="F16" s="45" t="s">
        <v>460</v>
      </c>
      <c r="G16" s="26">
        <v>2400</v>
      </c>
      <c r="H16" s="26">
        <f t="shared" si="0"/>
        <v>1200</v>
      </c>
      <c r="I16" s="56"/>
      <c r="J16" s="46" t="s">
        <v>348</v>
      </c>
      <c r="K16" s="16" t="str">
        <f>HYPERLINK("https://www.loqueleo.com/ar/libro/a-veces-la-sombra","VER")</f>
        <v>VER</v>
      </c>
      <c r="L16" s="56">
        <v>2016</v>
      </c>
    </row>
    <row r="17" spans="1:12" ht="12" customHeight="1">
      <c r="A17" s="21">
        <v>61098114</v>
      </c>
      <c r="B17" s="21">
        <v>9789504667377</v>
      </c>
      <c r="C17" s="21" t="s">
        <v>8</v>
      </c>
      <c r="D17" s="22" t="s">
        <v>469</v>
      </c>
      <c r="E17" s="23" t="s">
        <v>472</v>
      </c>
      <c r="F17" s="24" t="s">
        <v>460</v>
      </c>
      <c r="G17" s="25">
        <v>2990</v>
      </c>
      <c r="H17" s="25">
        <f t="shared" si="0"/>
        <v>1495</v>
      </c>
      <c r="I17" s="30"/>
      <c r="J17" s="20" t="s">
        <v>484</v>
      </c>
      <c r="K17" s="29" t="s">
        <v>439</v>
      </c>
      <c r="L17" s="30">
        <v>2022</v>
      </c>
    </row>
    <row r="18" spans="1:12" ht="12" customHeight="1">
      <c r="A18" s="45">
        <v>61070058</v>
      </c>
      <c r="B18" s="44">
        <v>9789504644392</v>
      </c>
      <c r="C18" s="44" t="s">
        <v>8</v>
      </c>
      <c r="D18" s="45" t="s">
        <v>485</v>
      </c>
      <c r="E18" s="45" t="s">
        <v>19</v>
      </c>
      <c r="F18" s="45" t="s">
        <v>461</v>
      </c>
      <c r="G18" s="26">
        <v>2200</v>
      </c>
      <c r="H18" s="26">
        <f t="shared" si="0"/>
        <v>1100</v>
      </c>
      <c r="I18" s="56"/>
      <c r="J18" s="46"/>
      <c r="K18" s="16" t="str">
        <f>HYPERLINK("https://www.loqueleo.com/ar/libro/agu-trot","VER")</f>
        <v>VER</v>
      </c>
      <c r="L18" s="56">
        <v>2016</v>
      </c>
    </row>
    <row r="19" spans="1:12" s="6" customFormat="1" ht="12" customHeight="1">
      <c r="A19" s="45">
        <v>61070072</v>
      </c>
      <c r="B19" s="44">
        <v>9789504647218</v>
      </c>
      <c r="C19" s="44" t="s">
        <v>8</v>
      </c>
      <c r="D19" s="45" t="s">
        <v>20</v>
      </c>
      <c r="E19" s="45" t="s">
        <v>21</v>
      </c>
      <c r="F19" s="45" t="s">
        <v>462</v>
      </c>
      <c r="G19" s="26">
        <v>2400</v>
      </c>
      <c r="H19" s="26">
        <f t="shared" si="0"/>
        <v>1200</v>
      </c>
      <c r="I19" s="56"/>
      <c r="J19" s="46"/>
      <c r="K19" s="16" t="str">
        <f>HYPERLINK("https://www.loqueleo.com/ar/libro/los-agujeros-negros","VER")</f>
        <v>VER</v>
      </c>
      <c r="L19" s="56">
        <v>2017</v>
      </c>
    </row>
    <row r="20" spans="1:12" s="6" customFormat="1" ht="12" customHeight="1">
      <c r="A20" s="45">
        <v>61069748</v>
      </c>
      <c r="B20" s="44">
        <v>9789504645672</v>
      </c>
      <c r="C20" s="44" t="s">
        <v>8</v>
      </c>
      <c r="D20" s="45" t="s">
        <v>22</v>
      </c>
      <c r="E20" s="45" t="s">
        <v>23</v>
      </c>
      <c r="F20" s="45" t="s">
        <v>462</v>
      </c>
      <c r="G20" s="26">
        <v>2990</v>
      </c>
      <c r="H20" s="26">
        <f t="shared" si="0"/>
        <v>1495</v>
      </c>
      <c r="I20" s="56"/>
      <c r="J20" s="46"/>
      <c r="K20" s="16" t="str">
        <f>HYPERLINK("https://www.loqueleo.com/ar/libro/alma-y-frin","VER")</f>
        <v>VER</v>
      </c>
      <c r="L20" s="56">
        <v>2016</v>
      </c>
    </row>
    <row r="21" spans="1:12" ht="12" customHeight="1">
      <c r="A21" s="45">
        <v>61069242</v>
      </c>
      <c r="B21" s="44">
        <v>9789504643845</v>
      </c>
      <c r="C21" s="44" t="s">
        <v>8</v>
      </c>
      <c r="D21" s="45" t="s">
        <v>24</v>
      </c>
      <c r="E21" s="45" t="s">
        <v>25</v>
      </c>
      <c r="F21" s="45" t="s">
        <v>26</v>
      </c>
      <c r="G21" s="26">
        <v>2890</v>
      </c>
      <c r="H21" s="26">
        <f t="shared" si="0"/>
        <v>1445</v>
      </c>
      <c r="I21" s="56"/>
      <c r="J21" s="46"/>
      <c r="K21" s="16" t="str">
        <f>HYPERLINK("https://www.loqueleo.com/ar/libro/el-almohadon-de-plumas","VER")</f>
        <v>VER</v>
      </c>
      <c r="L21" s="56">
        <v>2016</v>
      </c>
    </row>
    <row r="22" spans="1:12" ht="12" customHeight="1">
      <c r="A22" s="45">
        <v>61072524</v>
      </c>
      <c r="B22" s="44">
        <v>9789504649823</v>
      </c>
      <c r="C22" s="44" t="s">
        <v>8</v>
      </c>
      <c r="D22" s="45" t="s">
        <v>486</v>
      </c>
      <c r="E22" s="45" t="s">
        <v>487</v>
      </c>
      <c r="F22" s="45" t="s">
        <v>462</v>
      </c>
      <c r="G22" s="26">
        <v>2400</v>
      </c>
      <c r="H22" s="26">
        <f t="shared" si="0"/>
        <v>1200</v>
      </c>
      <c r="I22" s="56"/>
      <c r="J22" s="46"/>
      <c r="K22" s="16" t="str">
        <f>HYPERLINK("https://www.loqueleo.com/ar/libro/la-amistad-bate-la-cola","VER")</f>
        <v>VER</v>
      </c>
      <c r="L22" s="56">
        <v>2016</v>
      </c>
    </row>
    <row r="23" spans="1:12" ht="12" customHeight="1">
      <c r="A23" s="45">
        <v>61070089</v>
      </c>
      <c r="B23" s="44">
        <v>9789504644736</v>
      </c>
      <c r="C23" s="44" t="s">
        <v>8</v>
      </c>
      <c r="D23" s="45" t="s">
        <v>379</v>
      </c>
      <c r="E23" s="45" t="s">
        <v>29</v>
      </c>
      <c r="F23" s="45" t="s">
        <v>461</v>
      </c>
      <c r="G23" s="26">
        <v>2200</v>
      </c>
      <c r="H23" s="26">
        <f t="shared" si="0"/>
        <v>1100</v>
      </c>
      <c r="I23" s="56"/>
      <c r="J23" s="46"/>
      <c r="K23" s="16" t="str">
        <f>HYPERLINK("https://www.loqueleo.com/ar/libro/mi-animal-imposible","VER")</f>
        <v>VER</v>
      </c>
      <c r="L23" s="56">
        <v>2016</v>
      </c>
    </row>
    <row r="24" spans="1:12" ht="12" customHeight="1">
      <c r="A24" s="45">
        <v>61077857</v>
      </c>
      <c r="B24" s="44">
        <v>9789504652571</v>
      </c>
      <c r="C24" s="44" t="s">
        <v>8</v>
      </c>
      <c r="D24" s="45" t="s">
        <v>488</v>
      </c>
      <c r="E24" s="45" t="s">
        <v>30</v>
      </c>
      <c r="F24" s="45" t="s">
        <v>463</v>
      </c>
      <c r="G24" s="26">
        <v>2700</v>
      </c>
      <c r="H24" s="26">
        <f t="shared" si="0"/>
        <v>1350</v>
      </c>
      <c r="I24" s="56"/>
      <c r="J24" s="46"/>
      <c r="K24" s="16" t="str">
        <f>HYPERLINK("https://www.loqueleo.com/ar/libro/anita-dice-como-es","VER")</f>
        <v>VER</v>
      </c>
      <c r="L24" s="56">
        <v>2017</v>
      </c>
    </row>
    <row r="25" spans="1:12" ht="12" customHeight="1">
      <c r="A25" s="45">
        <v>61077859</v>
      </c>
      <c r="B25" s="44">
        <v>9789504652557</v>
      </c>
      <c r="C25" s="44" t="s">
        <v>8</v>
      </c>
      <c r="D25" s="45" t="s">
        <v>489</v>
      </c>
      <c r="E25" s="45" t="s">
        <v>30</v>
      </c>
      <c r="F25" s="45" t="s">
        <v>463</v>
      </c>
      <c r="G25" s="26">
        <v>2700</v>
      </c>
      <c r="H25" s="26">
        <f t="shared" si="0"/>
        <v>1350</v>
      </c>
      <c r="I25" s="56"/>
      <c r="J25" s="46"/>
      <c r="K25" s="16" t="str">
        <f>HYPERLINK("https://www.loqueleo.com/ar/libro/anita-dice-donde-esta","VER")</f>
        <v>VER</v>
      </c>
      <c r="L25" s="56">
        <v>2017</v>
      </c>
    </row>
    <row r="26" spans="1:12" s="7" customFormat="1" ht="12" customHeight="1">
      <c r="A26" s="45">
        <v>61077858</v>
      </c>
      <c r="B26" s="44">
        <v>9789504652564</v>
      </c>
      <c r="C26" s="44" t="s">
        <v>8</v>
      </c>
      <c r="D26" s="45" t="s">
        <v>490</v>
      </c>
      <c r="E26" s="45" t="s">
        <v>30</v>
      </c>
      <c r="F26" s="45" t="s">
        <v>463</v>
      </c>
      <c r="G26" s="26">
        <v>2700</v>
      </c>
      <c r="H26" s="26">
        <f t="shared" si="0"/>
        <v>1350</v>
      </c>
      <c r="I26" s="56"/>
      <c r="J26" s="46"/>
      <c r="K26" s="16" t="str">
        <f>HYPERLINK("https://www.loqueleo.com/ar/libro/anita-junta-colores","VER")</f>
        <v>VER</v>
      </c>
      <c r="L26" s="56">
        <v>2017</v>
      </c>
    </row>
    <row r="27" spans="1:12" ht="12" customHeight="1">
      <c r="A27" s="45">
        <v>61077860</v>
      </c>
      <c r="B27" s="44">
        <v>9789504652533</v>
      </c>
      <c r="C27" s="44" t="s">
        <v>8</v>
      </c>
      <c r="D27" s="45" t="s">
        <v>491</v>
      </c>
      <c r="E27" s="45" t="s">
        <v>30</v>
      </c>
      <c r="F27" s="45" t="s">
        <v>463</v>
      </c>
      <c r="G27" s="26">
        <v>2700</v>
      </c>
      <c r="H27" s="26">
        <f t="shared" si="0"/>
        <v>1350</v>
      </c>
      <c r="I27" s="56"/>
      <c r="J27" s="46"/>
      <c r="K27" s="16" t="str">
        <f>HYPERLINK("https://www.loqueleo.com/ar/libro/anita-quiere-jugar","VER")</f>
        <v>VER</v>
      </c>
      <c r="L27" s="56">
        <v>2017</v>
      </c>
    </row>
    <row r="28" spans="1:12" ht="12" customHeight="1">
      <c r="A28" s="45">
        <v>61077856</v>
      </c>
      <c r="B28" s="44">
        <v>9789504652588</v>
      </c>
      <c r="C28" s="44" t="s">
        <v>8</v>
      </c>
      <c r="D28" s="45" t="s">
        <v>492</v>
      </c>
      <c r="E28" s="45" t="s">
        <v>30</v>
      </c>
      <c r="F28" s="45" t="s">
        <v>463</v>
      </c>
      <c r="G28" s="26">
        <v>2700</v>
      </c>
      <c r="H28" s="26">
        <f t="shared" si="0"/>
        <v>1350</v>
      </c>
      <c r="I28" s="56"/>
      <c r="J28" s="46"/>
      <c r="K28" s="16" t="str">
        <f>HYPERLINK("https://www.loqueleo.com/ar/libro/anita-sabe-contar","VER")</f>
        <v>VER</v>
      </c>
      <c r="L28" s="56">
        <v>2017</v>
      </c>
    </row>
    <row r="29" spans="1:12" ht="12" customHeight="1">
      <c r="A29" s="45">
        <v>61077861</v>
      </c>
      <c r="B29" s="44">
        <v>9789504652540</v>
      </c>
      <c r="C29" s="44" t="s">
        <v>8</v>
      </c>
      <c r="D29" s="45" t="s">
        <v>31</v>
      </c>
      <c r="E29" s="45" t="s">
        <v>30</v>
      </c>
      <c r="F29" s="45" t="s">
        <v>463</v>
      </c>
      <c r="G29" s="26">
        <v>2700</v>
      </c>
      <c r="H29" s="26">
        <f t="shared" si="0"/>
        <v>1350</v>
      </c>
      <c r="I29" s="56"/>
      <c r="J29" s="46"/>
      <c r="K29" s="16" t="s">
        <v>439</v>
      </c>
      <c r="L29" s="56">
        <v>2017</v>
      </c>
    </row>
    <row r="30" spans="1:12" ht="12" customHeight="1">
      <c r="A30" s="45">
        <v>61070049</v>
      </c>
      <c r="B30" s="44">
        <v>9789504644750</v>
      </c>
      <c r="C30" s="44" t="s">
        <v>8</v>
      </c>
      <c r="D30" s="45" t="s">
        <v>32</v>
      </c>
      <c r="E30" s="45" t="s">
        <v>33</v>
      </c>
      <c r="F30" s="45" t="s">
        <v>461</v>
      </c>
      <c r="G30" s="26">
        <v>2200</v>
      </c>
      <c r="H30" s="26">
        <f t="shared" si="0"/>
        <v>1100</v>
      </c>
      <c r="I30" s="56"/>
      <c r="J30" s="46"/>
      <c r="K30" s="16" t="str">
        <f>HYPERLINK("https://www.loqueleo.com/ar/libro/el-anotador","VER")</f>
        <v>VER</v>
      </c>
      <c r="L30" s="56">
        <v>2016</v>
      </c>
    </row>
    <row r="31" spans="1:12" ht="12" customHeight="1">
      <c r="A31" s="21">
        <v>61100326</v>
      </c>
      <c r="B31" s="21">
        <v>9789504669555</v>
      </c>
      <c r="C31" s="21" t="s">
        <v>8</v>
      </c>
      <c r="D31" s="22" t="s">
        <v>493</v>
      </c>
      <c r="E31" s="23" t="s">
        <v>92</v>
      </c>
      <c r="F31" s="24" t="s">
        <v>459</v>
      </c>
      <c r="G31" s="25">
        <v>2600</v>
      </c>
      <c r="H31" s="25">
        <f t="shared" si="0"/>
        <v>1300</v>
      </c>
      <c r="I31" s="30"/>
      <c r="J31" s="47" t="s">
        <v>494</v>
      </c>
      <c r="K31" s="29" t="s">
        <v>439</v>
      </c>
      <c r="L31" s="30">
        <v>2022</v>
      </c>
    </row>
    <row r="32" spans="1:12" ht="12" customHeight="1">
      <c r="A32" s="45">
        <v>61085809</v>
      </c>
      <c r="B32" s="44">
        <v>9789504656418</v>
      </c>
      <c r="C32" s="44" t="s">
        <v>7</v>
      </c>
      <c r="D32" s="45" t="s">
        <v>384</v>
      </c>
      <c r="E32" s="45" t="s">
        <v>388</v>
      </c>
      <c r="F32" s="45" t="s">
        <v>465</v>
      </c>
      <c r="G32" s="26">
        <v>3500</v>
      </c>
      <c r="H32" s="26">
        <f t="shared" si="0"/>
        <v>1750</v>
      </c>
      <c r="I32" s="56"/>
      <c r="J32" s="46"/>
      <c r="K32" s="16" t="str">
        <f>HYPERLINK("https://www.loqueleo.com/ar/libro/aprende-los-colores-con-sam-","VER")</f>
        <v>VER</v>
      </c>
      <c r="L32" s="56">
        <v>2018</v>
      </c>
    </row>
    <row r="33" spans="1:12" ht="12" customHeight="1">
      <c r="A33" s="45">
        <v>61069982</v>
      </c>
      <c r="B33" s="44">
        <v>9789504645962</v>
      </c>
      <c r="C33" s="44" t="s">
        <v>8</v>
      </c>
      <c r="D33" s="45" t="s">
        <v>34</v>
      </c>
      <c r="E33" s="45" t="s">
        <v>27</v>
      </c>
      <c r="F33" s="45" t="s">
        <v>460</v>
      </c>
      <c r="G33" s="26">
        <v>2400</v>
      </c>
      <c r="H33" s="26">
        <f t="shared" si="0"/>
        <v>1200</v>
      </c>
      <c r="I33" s="56"/>
      <c r="J33" s="46"/>
      <c r="K33" s="16" t="str">
        <f>HYPERLINK("https://www.loqueleo.com/ar/libro/el-aprendiz","VER")</f>
        <v>VER</v>
      </c>
      <c r="L33" s="56">
        <v>2016</v>
      </c>
    </row>
    <row r="34" spans="1:12" ht="12" customHeight="1">
      <c r="A34" s="45">
        <v>61069968</v>
      </c>
      <c r="B34" s="44">
        <v>9789504646891</v>
      </c>
      <c r="C34" s="44" t="s">
        <v>8</v>
      </c>
      <c r="D34" s="45" t="s">
        <v>35</v>
      </c>
      <c r="E34" s="45" t="s">
        <v>14</v>
      </c>
      <c r="F34" s="45" t="s">
        <v>459</v>
      </c>
      <c r="G34" s="26">
        <v>2600</v>
      </c>
      <c r="H34" s="26">
        <f t="shared" si="0"/>
        <v>1300</v>
      </c>
      <c r="I34" s="56"/>
      <c r="J34" s="46"/>
      <c r="K34" s="16" t="str">
        <f>HYPERLINK("https://www.loqueleo.com/ar/libro/el-astronauta-del-barrio","VER")</f>
        <v>VER</v>
      </c>
      <c r="L34" s="56">
        <v>2016</v>
      </c>
    </row>
    <row r="35" spans="1:12" ht="12" customHeight="1">
      <c r="A35" s="45">
        <v>61086691</v>
      </c>
      <c r="B35" s="44">
        <v>9789504654117</v>
      </c>
      <c r="C35" s="44" t="s">
        <v>8</v>
      </c>
      <c r="D35" s="45" t="s">
        <v>407</v>
      </c>
      <c r="E35" s="45" t="s">
        <v>30</v>
      </c>
      <c r="F35" s="45" t="s">
        <v>463</v>
      </c>
      <c r="G35" s="26">
        <v>3100</v>
      </c>
      <c r="H35" s="26">
        <f t="shared" si="0"/>
        <v>1550</v>
      </c>
      <c r="I35" s="56"/>
      <c r="J35" s="46"/>
      <c r="K35" s="16" t="s">
        <v>439</v>
      </c>
      <c r="L35" s="56">
        <v>2019</v>
      </c>
    </row>
    <row r="36" spans="1:12" ht="12" customHeight="1">
      <c r="A36" s="48">
        <v>61083249</v>
      </c>
      <c r="B36" s="49">
        <v>9789504655022</v>
      </c>
      <c r="C36" s="49" t="s">
        <v>8</v>
      </c>
      <c r="D36" s="45" t="s">
        <v>36</v>
      </c>
      <c r="E36" s="45" t="s">
        <v>11</v>
      </c>
      <c r="F36" s="45" t="s">
        <v>461</v>
      </c>
      <c r="G36" s="26">
        <v>2400</v>
      </c>
      <c r="H36" s="26">
        <f t="shared" si="0"/>
        <v>1200</v>
      </c>
      <c r="I36" s="57"/>
      <c r="J36" s="46"/>
      <c r="K36" s="16" t="s">
        <v>439</v>
      </c>
      <c r="L36" s="57">
        <v>2018</v>
      </c>
    </row>
    <row r="37" spans="1:12" ht="12" customHeight="1">
      <c r="A37" s="45">
        <v>61069969</v>
      </c>
      <c r="B37" s="44">
        <v>9789504646877</v>
      </c>
      <c r="C37" s="44" t="s">
        <v>8</v>
      </c>
      <c r="D37" s="45" t="s">
        <v>37</v>
      </c>
      <c r="E37" s="45" t="s">
        <v>38</v>
      </c>
      <c r="F37" s="45" t="s">
        <v>459</v>
      </c>
      <c r="G37" s="26">
        <v>2600</v>
      </c>
      <c r="H37" s="26">
        <f t="shared" si="0"/>
        <v>1300</v>
      </c>
      <c r="I37" s="56"/>
      <c r="J37" s="46"/>
      <c r="K37" s="16" t="str">
        <f>HYPERLINK("https://www.loqueleo.com/ar/libro/ay-cuanto-me-quiero","VER")</f>
        <v>VER</v>
      </c>
      <c r="L37" s="56">
        <v>2017</v>
      </c>
    </row>
    <row r="38" spans="1:12" ht="12" customHeight="1">
      <c r="A38" s="45">
        <v>61086878</v>
      </c>
      <c r="B38" s="44">
        <v>9789504657941</v>
      </c>
      <c r="C38" s="44" t="s">
        <v>8</v>
      </c>
      <c r="D38" s="45" t="s">
        <v>400</v>
      </c>
      <c r="E38" s="45" t="s">
        <v>92</v>
      </c>
      <c r="F38" s="45" t="s">
        <v>461</v>
      </c>
      <c r="G38" s="26">
        <v>2200</v>
      </c>
      <c r="H38" s="26">
        <f t="shared" si="0"/>
        <v>1100</v>
      </c>
      <c r="I38" s="56"/>
      <c r="J38" s="46"/>
      <c r="K38" s="16" t="str">
        <f>HYPERLINK("https://www.loqueleo.com/ar/libro/ayer-pase-por-tu-torre","VER")</f>
        <v>VER</v>
      </c>
      <c r="L38" s="56">
        <v>2019</v>
      </c>
    </row>
    <row r="39" spans="1:12" ht="12" customHeight="1">
      <c r="A39" s="45">
        <v>61069270</v>
      </c>
      <c r="B39" s="44">
        <v>9789504643173</v>
      </c>
      <c r="C39" s="44" t="s">
        <v>8</v>
      </c>
      <c r="D39" s="45" t="s">
        <v>39</v>
      </c>
      <c r="E39" s="45" t="s">
        <v>11</v>
      </c>
      <c r="F39" s="45" t="s">
        <v>461</v>
      </c>
      <c r="G39" s="26">
        <v>2200</v>
      </c>
      <c r="H39" s="26">
        <f t="shared" si="0"/>
        <v>1100</v>
      </c>
      <c r="I39" s="56"/>
      <c r="J39" s="46"/>
      <c r="K39" s="16" t="s">
        <v>439</v>
      </c>
      <c r="L39" s="56">
        <v>2016</v>
      </c>
    </row>
    <row r="40" spans="1:12" ht="12" customHeight="1">
      <c r="A40" s="45">
        <v>61063140</v>
      </c>
      <c r="B40" s="44">
        <v>9789504649380</v>
      </c>
      <c r="C40" s="44" t="s">
        <v>8</v>
      </c>
      <c r="D40" s="45" t="s">
        <v>40</v>
      </c>
      <c r="E40" s="45" t="s">
        <v>41</v>
      </c>
      <c r="F40" s="45" t="s">
        <v>462</v>
      </c>
      <c r="G40" s="26">
        <v>2990</v>
      </c>
      <c r="H40" s="26">
        <f t="shared" si="0"/>
        <v>1495</v>
      </c>
      <c r="I40" s="56"/>
      <c r="J40" s="46"/>
      <c r="K40" s="16" t="str">
        <f>HYPERLINK("https://www.loqueleo.com/ar/libro/la-banda-del-siglo","VER")</f>
        <v>VER</v>
      </c>
      <c r="L40" s="56">
        <v>2016</v>
      </c>
    </row>
    <row r="41" spans="1:12" ht="12" customHeight="1">
      <c r="A41" s="50">
        <v>61081651</v>
      </c>
      <c r="B41" s="44">
        <v>9789504653844</v>
      </c>
      <c r="C41" s="44" t="s">
        <v>8</v>
      </c>
      <c r="D41" s="50" t="s">
        <v>361</v>
      </c>
      <c r="E41" s="50" t="s">
        <v>52</v>
      </c>
      <c r="F41" s="45" t="s">
        <v>460</v>
      </c>
      <c r="G41" s="26">
        <v>2400</v>
      </c>
      <c r="H41" s="26">
        <f t="shared" si="0"/>
        <v>1200</v>
      </c>
      <c r="I41" s="56"/>
      <c r="J41" s="46"/>
      <c r="K41" s="16" t="str">
        <f>HYPERLINK("https://www.loqueleo.com/ar/libro/banderas-negras-sobre-cielo-azul","VER")</f>
        <v>VER</v>
      </c>
      <c r="L41" s="56">
        <v>2017</v>
      </c>
    </row>
    <row r="42" spans="1:12" ht="12" customHeight="1">
      <c r="A42" s="45">
        <v>61070167</v>
      </c>
      <c r="B42" s="44">
        <v>9789504645153</v>
      </c>
      <c r="C42" s="44" t="s">
        <v>8</v>
      </c>
      <c r="D42" s="45" t="s">
        <v>42</v>
      </c>
      <c r="E42" s="45" t="s">
        <v>30</v>
      </c>
      <c r="F42" s="45" t="s">
        <v>462</v>
      </c>
      <c r="G42" s="26">
        <v>2990</v>
      </c>
      <c r="H42" s="26">
        <f t="shared" si="0"/>
        <v>1495</v>
      </c>
      <c r="I42" s="56"/>
      <c r="J42" s="46"/>
      <c r="K42" s="16" t="str">
        <f>HYPERLINK("https://www.loqueleo.com/ar/libro/la-batalla-de-los-monstruos-y-las-hadas","VER")</f>
        <v>VER</v>
      </c>
      <c r="L42" s="56">
        <v>2016</v>
      </c>
    </row>
    <row r="43" spans="1:12" ht="12" customHeight="1">
      <c r="A43" s="45">
        <v>61090766</v>
      </c>
      <c r="B43" s="44">
        <v>9789504659686</v>
      </c>
      <c r="C43" s="44" t="s">
        <v>8</v>
      </c>
      <c r="D43" s="45" t="s">
        <v>432</v>
      </c>
      <c r="E43" s="45" t="s">
        <v>43</v>
      </c>
      <c r="F43" s="45" t="s">
        <v>462</v>
      </c>
      <c r="G43" s="26">
        <v>2990</v>
      </c>
      <c r="H43" s="26">
        <f t="shared" si="0"/>
        <v>1495</v>
      </c>
      <c r="I43" s="56"/>
      <c r="J43" s="46"/>
      <c r="K43" s="16" t="str">
        <f>HYPERLINK("https://www.loqueleo.com/ar/libro/belgrano-hace-bandera-y-le-sale-de-primera","VER")</f>
        <v>VER</v>
      </c>
      <c r="L43" s="56">
        <v>2020</v>
      </c>
    </row>
    <row r="44" spans="1:12" ht="12" customHeight="1">
      <c r="A44" s="45">
        <v>61069243</v>
      </c>
      <c r="B44" s="44">
        <v>9789504643128</v>
      </c>
      <c r="C44" s="44" t="s">
        <v>8</v>
      </c>
      <c r="D44" s="45" t="s">
        <v>495</v>
      </c>
      <c r="E44" s="45" t="s">
        <v>44</v>
      </c>
      <c r="F44" s="45" t="s">
        <v>459</v>
      </c>
      <c r="G44" s="26">
        <v>2600</v>
      </c>
      <c r="H44" s="26">
        <f t="shared" si="0"/>
        <v>1300</v>
      </c>
      <c r="I44" s="56"/>
      <c r="J44" s="46"/>
      <c r="K44" s="16" t="str">
        <f>HYPERLINK("https://www.loqueleo.com/ar/libro/belisario-y-el-violin","VER")</f>
        <v>VER</v>
      </c>
      <c r="L44" s="56">
        <v>2015</v>
      </c>
    </row>
    <row r="45" spans="1:12" ht="12" customHeight="1">
      <c r="A45" s="45">
        <v>61069992</v>
      </c>
      <c r="B45" s="44">
        <v>9789504646914</v>
      </c>
      <c r="C45" s="44" t="s">
        <v>8</v>
      </c>
      <c r="D45" s="45" t="s">
        <v>45</v>
      </c>
      <c r="E45" s="45" t="s">
        <v>44</v>
      </c>
      <c r="F45" s="45" t="s">
        <v>459</v>
      </c>
      <c r="G45" s="26">
        <v>2600</v>
      </c>
      <c r="H45" s="26">
        <f t="shared" si="0"/>
        <v>1300</v>
      </c>
      <c r="I45" s="56"/>
      <c r="J45" s="46"/>
      <c r="K45" s="16" t="str">
        <f>HYPERLINK("https://www.loqueleo.com/ar/libro/belisario-y-los-espejos-de-agua","VER")</f>
        <v>VER</v>
      </c>
      <c r="L45" s="56">
        <v>2016</v>
      </c>
    </row>
    <row r="46" spans="1:12" ht="12" customHeight="1">
      <c r="A46" s="45">
        <v>61069967</v>
      </c>
      <c r="B46" s="44">
        <v>9789504646563</v>
      </c>
      <c r="C46" s="44" t="s">
        <v>8</v>
      </c>
      <c r="D46" s="45" t="s">
        <v>46</v>
      </c>
      <c r="E46" s="45" t="s">
        <v>44</v>
      </c>
      <c r="F46" s="45" t="s">
        <v>459</v>
      </c>
      <c r="G46" s="26">
        <v>2600</v>
      </c>
      <c r="H46" s="26">
        <f t="shared" si="0"/>
        <v>1300</v>
      </c>
      <c r="I46" s="56"/>
      <c r="J46" s="46"/>
      <c r="K46" s="16" t="str">
        <f>HYPERLINK("https://www.loqueleo.com/ar/libro/belisario-y-los-fantasmas","VER")</f>
        <v>VER</v>
      </c>
      <c r="L46" s="56">
        <v>2016</v>
      </c>
    </row>
    <row r="47" spans="1:12" ht="12" customHeight="1">
      <c r="A47" s="21">
        <v>61100327</v>
      </c>
      <c r="B47" s="21">
        <v>9789504669562</v>
      </c>
      <c r="C47" s="21" t="s">
        <v>8</v>
      </c>
      <c r="D47" s="22" t="s">
        <v>496</v>
      </c>
      <c r="E47" s="23" t="s">
        <v>29</v>
      </c>
      <c r="F47" s="24" t="s">
        <v>461</v>
      </c>
      <c r="G47" s="25">
        <v>2400</v>
      </c>
      <c r="H47" s="25">
        <f t="shared" si="0"/>
        <v>1200</v>
      </c>
      <c r="I47" s="30"/>
      <c r="J47" s="47" t="s">
        <v>494</v>
      </c>
      <c r="K47" s="29" t="s">
        <v>439</v>
      </c>
      <c r="L47" s="30">
        <v>2022</v>
      </c>
    </row>
    <row r="48" spans="1:12" ht="12" customHeight="1">
      <c r="A48" s="45">
        <v>61084735</v>
      </c>
      <c r="B48" s="44">
        <v>9789504656197</v>
      </c>
      <c r="C48" s="44" t="s">
        <v>8</v>
      </c>
      <c r="D48" s="45" t="s">
        <v>385</v>
      </c>
      <c r="E48" s="45" t="s">
        <v>60</v>
      </c>
      <c r="F48" s="45" t="s">
        <v>461</v>
      </c>
      <c r="G48" s="26">
        <v>2200</v>
      </c>
      <c r="H48" s="26">
        <f t="shared" si="0"/>
        <v>1100</v>
      </c>
      <c r="I48" s="56"/>
      <c r="J48" s="46"/>
      <c r="K48" s="16" t="str">
        <f>HYPERLINK("https://www.loqueleo.com/ar/libro/bicherio-fundamental","VER")</f>
        <v>VER</v>
      </c>
      <c r="L48" s="56">
        <v>2018</v>
      </c>
    </row>
    <row r="49" spans="1:12" ht="12" customHeight="1">
      <c r="A49" s="45">
        <v>61070116</v>
      </c>
      <c r="B49" s="44">
        <v>9789504645757</v>
      </c>
      <c r="C49" s="44" t="s">
        <v>8</v>
      </c>
      <c r="D49" s="45" t="s">
        <v>47</v>
      </c>
      <c r="E49" s="45" t="s">
        <v>48</v>
      </c>
      <c r="F49" s="45" t="s">
        <v>462</v>
      </c>
      <c r="G49" s="26">
        <v>2990</v>
      </c>
      <c r="H49" s="26">
        <f t="shared" si="0"/>
        <v>1495</v>
      </c>
      <c r="I49" s="56"/>
      <c r="J49" s="46"/>
      <c r="K49" s="16" t="str">
        <f>HYPERLINK("https://www.loqueleo.com/ar/libro/bienvenido-plumas","VER")</f>
        <v>VER</v>
      </c>
      <c r="L49" s="56">
        <v>2016</v>
      </c>
    </row>
    <row r="50" spans="1:12" ht="12" customHeight="1">
      <c r="A50" s="45">
        <v>61070120</v>
      </c>
      <c r="B50" s="44">
        <v>9789504645726</v>
      </c>
      <c r="C50" s="44" t="s">
        <v>8</v>
      </c>
      <c r="D50" s="45" t="s">
        <v>49</v>
      </c>
      <c r="E50" s="45" t="s">
        <v>23</v>
      </c>
      <c r="F50" s="45" t="s">
        <v>462</v>
      </c>
      <c r="G50" s="26">
        <v>2990</v>
      </c>
      <c r="H50" s="26">
        <f t="shared" si="0"/>
        <v>1495</v>
      </c>
      <c r="I50" s="56"/>
      <c r="J50" s="46"/>
      <c r="K50" s="16" t="str">
        <f>HYPERLINK("https://www.loqueleo.com/ar/libro/bituin-bituin-natacha-1","VER")</f>
        <v>VER</v>
      </c>
      <c r="L50" s="56">
        <v>2016</v>
      </c>
    </row>
    <row r="51" spans="1:12" ht="12" customHeight="1">
      <c r="A51" s="50">
        <v>61078616</v>
      </c>
      <c r="B51" s="44">
        <v>9789504653059</v>
      </c>
      <c r="C51" s="44" t="s">
        <v>8</v>
      </c>
      <c r="D51" s="50" t="s">
        <v>355</v>
      </c>
      <c r="E51" s="50" t="s">
        <v>23</v>
      </c>
      <c r="F51" s="51" t="s">
        <v>351</v>
      </c>
      <c r="G51" s="13">
        <v>3990</v>
      </c>
      <c r="H51" s="13">
        <f t="shared" si="0"/>
        <v>1995</v>
      </c>
      <c r="I51" s="56"/>
      <c r="J51" s="46"/>
      <c r="K51" s="16" t="str">
        <f>HYPERLINK("https://www.loqueleo.com/ar/libro/bituin-bituin-natacha","VER")</f>
        <v>VER</v>
      </c>
      <c r="L51" s="56">
        <v>2017</v>
      </c>
    </row>
    <row r="52" spans="1:12" ht="12" customHeight="1">
      <c r="A52" s="45">
        <v>61070141</v>
      </c>
      <c r="B52" s="44">
        <v>9789504647171</v>
      </c>
      <c r="C52" s="44" t="s">
        <v>8</v>
      </c>
      <c r="D52" s="45" t="s">
        <v>415</v>
      </c>
      <c r="E52" s="45" t="s">
        <v>50</v>
      </c>
      <c r="F52" s="45" t="s">
        <v>26</v>
      </c>
      <c r="G52" s="26">
        <v>3100</v>
      </c>
      <c r="H52" s="26">
        <f t="shared" si="0"/>
        <v>1550</v>
      </c>
      <c r="I52" s="56"/>
      <c r="J52" s="46"/>
      <c r="K52" s="16" t="str">
        <f>HYPERLINK("https://www.loqueleo.com/ar/libro/el-bosque-de-cenizas","VER")</f>
        <v>VER</v>
      </c>
      <c r="L52" s="56">
        <v>2015</v>
      </c>
    </row>
    <row r="53" spans="1:12" ht="12" customHeight="1">
      <c r="A53" s="45">
        <v>61069226</v>
      </c>
      <c r="B53" s="44">
        <v>9789504643272</v>
      </c>
      <c r="C53" s="44" t="s">
        <v>8</v>
      </c>
      <c r="D53" s="45" t="s">
        <v>51</v>
      </c>
      <c r="E53" s="45" t="s">
        <v>52</v>
      </c>
      <c r="F53" s="45" t="s">
        <v>461</v>
      </c>
      <c r="G53" s="26">
        <v>2200</v>
      </c>
      <c r="H53" s="26">
        <f t="shared" si="0"/>
        <v>1100</v>
      </c>
      <c r="I53" s="56"/>
      <c r="J53" s="46"/>
      <c r="K53" s="16" t="str">
        <f>HYPERLINK("https://www.loqueleo.com/ar/libro/botella-al-mar","VER")</f>
        <v>VER</v>
      </c>
      <c r="L53" s="56">
        <v>2016</v>
      </c>
    </row>
    <row r="54" spans="1:12" ht="12" customHeight="1">
      <c r="A54" s="21">
        <v>61097708</v>
      </c>
      <c r="B54" s="21">
        <v>9789504666417</v>
      </c>
      <c r="C54" s="21" t="s">
        <v>8</v>
      </c>
      <c r="D54" s="22" t="s">
        <v>466</v>
      </c>
      <c r="E54" s="23" t="s">
        <v>23</v>
      </c>
      <c r="F54" s="24" t="s">
        <v>462</v>
      </c>
      <c r="G54" s="25">
        <v>2990</v>
      </c>
      <c r="H54" s="25">
        <f t="shared" si="0"/>
        <v>1495</v>
      </c>
      <c r="I54" s="30"/>
      <c r="J54" s="20" t="s">
        <v>497</v>
      </c>
      <c r="K54" s="29" t="s">
        <v>439</v>
      </c>
      <c r="L54" s="30">
        <v>2021</v>
      </c>
    </row>
    <row r="55" spans="1:12" ht="12" customHeight="1">
      <c r="A55" s="45">
        <v>61069292</v>
      </c>
      <c r="B55" s="44">
        <v>9789504643517</v>
      </c>
      <c r="C55" s="44" t="s">
        <v>8</v>
      </c>
      <c r="D55" s="45" t="s">
        <v>53</v>
      </c>
      <c r="E55" s="45" t="s">
        <v>19</v>
      </c>
      <c r="F55" s="45" t="s">
        <v>462</v>
      </c>
      <c r="G55" s="26">
        <v>2990</v>
      </c>
      <c r="H55" s="26">
        <f t="shared" si="0"/>
        <v>1495</v>
      </c>
      <c r="I55" s="56"/>
      <c r="J55" s="46"/>
      <c r="K55" s="16" t="s">
        <v>439</v>
      </c>
      <c r="L55" s="56">
        <v>2015</v>
      </c>
    </row>
    <row r="56" spans="1:12" ht="12" customHeight="1">
      <c r="A56" s="45">
        <v>61073256</v>
      </c>
      <c r="B56" s="44">
        <v>9789504652489</v>
      </c>
      <c r="C56" s="44" t="s">
        <v>8</v>
      </c>
      <c r="D56" s="45" t="s">
        <v>434</v>
      </c>
      <c r="E56" s="45" t="s">
        <v>30</v>
      </c>
      <c r="F56" s="45" t="s">
        <v>463</v>
      </c>
      <c r="G56" s="26">
        <v>3100</v>
      </c>
      <c r="H56" s="26">
        <f t="shared" si="0"/>
        <v>1550</v>
      </c>
      <c r="I56" s="56"/>
      <c r="J56" s="46"/>
      <c r="K56" s="16" t="s">
        <v>439</v>
      </c>
      <c r="L56" s="56">
        <v>2017</v>
      </c>
    </row>
    <row r="57" spans="1:12" ht="12" customHeight="1">
      <c r="A57" s="45">
        <v>61070103</v>
      </c>
      <c r="B57" s="44">
        <v>9789504645689</v>
      </c>
      <c r="C57" s="44" t="s">
        <v>8</v>
      </c>
      <c r="D57" s="45" t="s">
        <v>54</v>
      </c>
      <c r="E57" s="45" t="s">
        <v>23</v>
      </c>
      <c r="F57" s="45" t="s">
        <v>462</v>
      </c>
      <c r="G57" s="26">
        <v>2990</v>
      </c>
      <c r="H57" s="26">
        <f t="shared" si="0"/>
        <v>1495</v>
      </c>
      <c r="I57" s="56"/>
      <c r="J57" s="46" t="s">
        <v>348</v>
      </c>
      <c r="K57" s="16" t="s">
        <v>439</v>
      </c>
      <c r="L57" s="56">
        <v>2016</v>
      </c>
    </row>
    <row r="58" spans="1:12" ht="12" customHeight="1">
      <c r="A58" s="50">
        <v>61078618</v>
      </c>
      <c r="B58" s="44">
        <v>9789504653042</v>
      </c>
      <c r="C58" s="44" t="s">
        <v>8</v>
      </c>
      <c r="D58" s="50" t="s">
        <v>357</v>
      </c>
      <c r="E58" s="50" t="s">
        <v>23</v>
      </c>
      <c r="F58" s="51" t="s">
        <v>351</v>
      </c>
      <c r="G58" s="13">
        <v>3990</v>
      </c>
      <c r="H58" s="13">
        <f t="shared" si="0"/>
        <v>1995</v>
      </c>
      <c r="I58" s="56"/>
      <c r="J58" s="46" t="s">
        <v>348</v>
      </c>
      <c r="K58" s="16" t="str">
        <f>HYPERLINK("https://www.loqueleo.com/ar/libro/buenisimo-natacha","VER")</f>
        <v>VER</v>
      </c>
      <c r="L58" s="56">
        <v>2017</v>
      </c>
    </row>
    <row r="59" spans="1:12" ht="12" customHeight="1">
      <c r="A59" s="45">
        <v>61069970</v>
      </c>
      <c r="B59" s="44">
        <v>9789504646655</v>
      </c>
      <c r="C59" s="44" t="s">
        <v>8</v>
      </c>
      <c r="D59" s="45" t="s">
        <v>55</v>
      </c>
      <c r="E59" s="45" t="s">
        <v>56</v>
      </c>
      <c r="F59" s="45" t="s">
        <v>26</v>
      </c>
      <c r="G59" s="26">
        <v>3100</v>
      </c>
      <c r="H59" s="26">
        <f t="shared" si="0"/>
        <v>1550</v>
      </c>
      <c r="I59" s="56"/>
      <c r="J59" s="46" t="s">
        <v>348</v>
      </c>
      <c r="K59" s="16" t="str">
        <f>HYPERLINK("https://www.loqueleo.com/ar/libro/el-buscador-de-finales","VER")</f>
        <v>VER</v>
      </c>
      <c r="L59" s="56">
        <v>2016</v>
      </c>
    </row>
    <row r="60" spans="1:12" ht="12" customHeight="1">
      <c r="A60" s="45">
        <v>61069273</v>
      </c>
      <c r="B60" s="44">
        <v>9789504643630</v>
      </c>
      <c r="C60" s="44" t="s">
        <v>8</v>
      </c>
      <c r="D60" s="45" t="s">
        <v>57</v>
      </c>
      <c r="E60" s="45" t="s">
        <v>58</v>
      </c>
      <c r="F60" s="45" t="s">
        <v>460</v>
      </c>
      <c r="G60" s="26">
        <v>2990</v>
      </c>
      <c r="H60" s="26">
        <f t="shared" si="0"/>
        <v>1495</v>
      </c>
      <c r="I60" s="56"/>
      <c r="J60" s="46"/>
      <c r="K60" s="16" t="str">
        <f>HYPERLINK("https://www.loqueleo.com/ar/libro/los-caballeros-de-la-rama","VER")</f>
        <v>VER</v>
      </c>
      <c r="L60" s="56">
        <v>2016</v>
      </c>
    </row>
    <row r="61" spans="1:12" ht="12" customHeight="1">
      <c r="A61" s="45">
        <v>61070007</v>
      </c>
      <c r="B61" s="44">
        <v>9789504646723</v>
      </c>
      <c r="C61" s="44" t="s">
        <v>8</v>
      </c>
      <c r="D61" s="45" t="s">
        <v>498</v>
      </c>
      <c r="E61" s="45" t="s">
        <v>16</v>
      </c>
      <c r="F61" s="45" t="s">
        <v>459</v>
      </c>
      <c r="G61" s="26">
        <v>2600</v>
      </c>
      <c r="H61" s="26">
        <f t="shared" si="0"/>
        <v>1300</v>
      </c>
      <c r="I61" s="56"/>
      <c r="J61" s="46"/>
      <c r="K61" s="16" t="str">
        <f>HYPERLINK("https://www.loqueleo.com/ar/libro/el-caballo-que-no-sabia-relinchar","VER")</f>
        <v>VER</v>
      </c>
      <c r="L61" s="56">
        <v>2016</v>
      </c>
    </row>
    <row r="62" spans="1:12" ht="12" customHeight="1">
      <c r="A62" s="45">
        <v>61069990</v>
      </c>
      <c r="B62" s="44">
        <v>9789504646495</v>
      </c>
      <c r="C62" s="44" t="s">
        <v>8</v>
      </c>
      <c r="D62" s="45" t="s">
        <v>499</v>
      </c>
      <c r="E62" s="45" t="s">
        <v>16</v>
      </c>
      <c r="F62" s="45" t="s">
        <v>459</v>
      </c>
      <c r="G62" s="26">
        <v>2600</v>
      </c>
      <c r="H62" s="26">
        <f t="shared" si="0"/>
        <v>1300</v>
      </c>
      <c r="I62" s="56"/>
      <c r="J62" s="46"/>
      <c r="K62" s="16" t="str">
        <f>HYPERLINK("https://www.loqueleo.com/ar/libro/el-caballo-que-tenia-un-sueno","VER")</f>
        <v>VER</v>
      </c>
      <c r="L62" s="56">
        <v>2016</v>
      </c>
    </row>
    <row r="63" spans="1:12" ht="12" customHeight="1">
      <c r="A63" s="45">
        <v>61070012</v>
      </c>
      <c r="B63" s="44">
        <v>9789504646020</v>
      </c>
      <c r="C63" s="44" t="s">
        <v>8</v>
      </c>
      <c r="D63" s="45" t="s">
        <v>59</v>
      </c>
      <c r="E63" s="45" t="s">
        <v>27</v>
      </c>
      <c r="F63" s="45" t="s">
        <v>460</v>
      </c>
      <c r="G63" s="26">
        <v>2400</v>
      </c>
      <c r="H63" s="26">
        <f t="shared" si="0"/>
        <v>1200</v>
      </c>
      <c r="I63" s="56"/>
      <c r="J63" s="46"/>
      <c r="K63" s="16" t="str">
        <f>HYPERLINK("https://www.loqueleo.com/ar/libro/cabo-fantasma","VER")</f>
        <v>VER</v>
      </c>
      <c r="L63" s="56">
        <v>2016</v>
      </c>
    </row>
    <row r="64" spans="1:12" ht="12" customHeight="1">
      <c r="A64" s="45">
        <v>61069246</v>
      </c>
      <c r="B64" s="44">
        <v>9789504643326</v>
      </c>
      <c r="C64" s="44" t="s">
        <v>8</v>
      </c>
      <c r="D64" s="45" t="s">
        <v>61</v>
      </c>
      <c r="E64" s="45" t="s">
        <v>62</v>
      </c>
      <c r="F64" s="45" t="s">
        <v>461</v>
      </c>
      <c r="G64" s="26">
        <v>2200</v>
      </c>
      <c r="H64" s="26">
        <f t="shared" si="0"/>
        <v>1100</v>
      </c>
      <c r="I64" s="56"/>
      <c r="J64" s="46"/>
      <c r="K64" s="16" t="str">
        <f>HYPERLINK("https://www.loqueleo.com/ar/libro/cada-cual-se-divierte-como-puede","VER")</f>
        <v>VER</v>
      </c>
      <c r="L64" s="56">
        <v>2016</v>
      </c>
    </row>
    <row r="65" spans="1:12" ht="12" customHeight="1">
      <c r="A65" s="45">
        <v>61071824</v>
      </c>
      <c r="B65" s="44">
        <v>9789504648833</v>
      </c>
      <c r="C65" s="44" t="s">
        <v>8</v>
      </c>
      <c r="D65" s="45" t="s">
        <v>63</v>
      </c>
      <c r="E65" s="45" t="s">
        <v>14</v>
      </c>
      <c r="F65" s="45" t="s">
        <v>460</v>
      </c>
      <c r="G65" s="26">
        <v>2990</v>
      </c>
      <c r="H65" s="26">
        <f t="shared" si="0"/>
        <v>1495</v>
      </c>
      <c r="I65" s="56"/>
      <c r="J65" s="46"/>
      <c r="K65" s="16" t="str">
        <f>HYPERLINK("https://www.loqueleo.com/ar/libro/la-camara-oculta","VER")</f>
        <v>VER</v>
      </c>
      <c r="L65" s="56">
        <v>2016</v>
      </c>
    </row>
    <row r="66" spans="1:12" ht="12" customHeight="1">
      <c r="A66" s="45">
        <v>61069247</v>
      </c>
      <c r="B66" s="44">
        <v>9789504643135</v>
      </c>
      <c r="C66" s="44" t="s">
        <v>8</v>
      </c>
      <c r="D66" s="45" t="s">
        <v>64</v>
      </c>
      <c r="E66" s="45" t="s">
        <v>62</v>
      </c>
      <c r="F66" s="45" t="s">
        <v>459</v>
      </c>
      <c r="G66" s="26">
        <v>2600</v>
      </c>
      <c r="H66" s="26">
        <f t="shared" si="0"/>
        <v>1300</v>
      </c>
      <c r="I66" s="56"/>
      <c r="J66" s="46"/>
      <c r="K66" s="16" t="str">
        <f>HYPERLINK("https://www.loqueleo.com/ar/libro/el-camino-de-la-hormiga","VER")</f>
        <v>VER</v>
      </c>
      <c r="L66" s="56">
        <v>2016</v>
      </c>
    </row>
    <row r="67" spans="1:12" s="7" customFormat="1" ht="12" customHeight="1">
      <c r="A67" s="45">
        <v>61069213</v>
      </c>
      <c r="B67" s="44">
        <v>9789504644217</v>
      </c>
      <c r="C67" s="44" t="s">
        <v>8</v>
      </c>
      <c r="D67" s="45" t="s">
        <v>65</v>
      </c>
      <c r="E67" s="45" t="s">
        <v>66</v>
      </c>
      <c r="F67" s="45" t="s">
        <v>460</v>
      </c>
      <c r="G67" s="26">
        <v>2990</v>
      </c>
      <c r="H67" s="26">
        <f t="shared" si="0"/>
        <v>1495</v>
      </c>
      <c r="I67" s="56"/>
      <c r="J67" s="46"/>
      <c r="K67" s="16" t="s">
        <v>439</v>
      </c>
      <c r="L67" s="56">
        <v>2016</v>
      </c>
    </row>
    <row r="68" spans="1:12" s="7" customFormat="1" ht="12" customHeight="1">
      <c r="A68" s="45">
        <v>61085177</v>
      </c>
      <c r="B68" s="44">
        <v>9789504656159</v>
      </c>
      <c r="C68" s="44" t="s">
        <v>8</v>
      </c>
      <c r="D68" s="45" t="s">
        <v>383</v>
      </c>
      <c r="E68" s="45" t="s">
        <v>12</v>
      </c>
      <c r="F68" s="45" t="s">
        <v>465</v>
      </c>
      <c r="G68" s="26">
        <v>2990</v>
      </c>
      <c r="H68" s="26">
        <f t="shared" si="0"/>
        <v>1495</v>
      </c>
      <c r="I68" s="56"/>
      <c r="J68" s="46"/>
      <c r="K68" s="16" t="s">
        <v>439</v>
      </c>
      <c r="L68" s="56">
        <v>2018</v>
      </c>
    </row>
    <row r="69" spans="1:12" ht="12" customHeight="1">
      <c r="A69" s="45">
        <v>61069215</v>
      </c>
      <c r="B69" s="44">
        <v>9789504643821</v>
      </c>
      <c r="C69" s="44" t="s">
        <v>8</v>
      </c>
      <c r="D69" s="45" t="s">
        <v>68</v>
      </c>
      <c r="E69" s="45" t="s">
        <v>67</v>
      </c>
      <c r="F69" s="45" t="s">
        <v>464</v>
      </c>
      <c r="G69" s="26">
        <v>2600</v>
      </c>
      <c r="H69" s="26">
        <f t="shared" si="0"/>
        <v>1300</v>
      </c>
      <c r="I69" s="56"/>
      <c r="J69" s="46"/>
      <c r="K69" s="16" t="str">
        <f>HYPERLINK("https://www.loqueleo.com/ar/libro/candelaria-y-los-monstruos","VER")</f>
        <v>VER</v>
      </c>
      <c r="L69" s="56">
        <v>2016</v>
      </c>
    </row>
    <row r="70" spans="1:12" ht="12" customHeight="1">
      <c r="A70" s="45">
        <v>61070004</v>
      </c>
      <c r="B70" s="44">
        <v>9789504646549</v>
      </c>
      <c r="C70" s="44" t="s">
        <v>8</v>
      </c>
      <c r="D70" s="45" t="s">
        <v>69</v>
      </c>
      <c r="E70" s="45" t="s">
        <v>23</v>
      </c>
      <c r="F70" s="45" t="s">
        <v>459</v>
      </c>
      <c r="G70" s="26">
        <v>2600</v>
      </c>
      <c r="H70" s="26">
        <f t="shared" si="0"/>
        <v>1300</v>
      </c>
      <c r="I70" s="56"/>
      <c r="J70" s="46" t="s">
        <v>348</v>
      </c>
      <c r="K70" s="16" t="str">
        <f>HYPERLINK("https://www.loqueleo.com/ar/libro/caperucita-roja","VER")</f>
        <v>VER</v>
      </c>
      <c r="L70" s="56">
        <v>2016</v>
      </c>
    </row>
    <row r="71" spans="1:12" ht="12" customHeight="1">
      <c r="A71" s="45">
        <v>61069211</v>
      </c>
      <c r="B71" s="44">
        <v>9789504643708</v>
      </c>
      <c r="C71" s="44" t="s">
        <v>8</v>
      </c>
      <c r="D71" s="45" t="s">
        <v>70</v>
      </c>
      <c r="E71" s="45" t="s">
        <v>71</v>
      </c>
      <c r="F71" s="45" t="s">
        <v>460</v>
      </c>
      <c r="G71" s="26">
        <v>2990</v>
      </c>
      <c r="H71" s="26">
        <f t="shared" si="0"/>
        <v>1495</v>
      </c>
      <c r="I71" s="56"/>
      <c r="J71" s="46"/>
      <c r="K71" s="16" t="str">
        <f>HYPERLINK("https://www.loqueleo.com/ar/libro/caro-dice","VER")</f>
        <v>VER</v>
      </c>
      <c r="L71" s="56">
        <v>2016</v>
      </c>
    </row>
    <row r="72" spans="1:12" ht="12" customHeight="1">
      <c r="A72" s="45">
        <v>61068402</v>
      </c>
      <c r="B72" s="44">
        <v>9789504644804</v>
      </c>
      <c r="C72" s="44" t="s">
        <v>8</v>
      </c>
      <c r="D72" s="45" t="s">
        <v>500</v>
      </c>
      <c r="E72" s="45" t="s">
        <v>23</v>
      </c>
      <c r="F72" s="45" t="s">
        <v>26</v>
      </c>
      <c r="G72" s="26">
        <v>3100</v>
      </c>
      <c r="H72" s="26">
        <f t="shared" si="0"/>
        <v>1550</v>
      </c>
      <c r="I72" s="56"/>
      <c r="J72" s="46" t="s">
        <v>348</v>
      </c>
      <c r="K72" s="16" t="str">
        <f>HYPERLINK("https://www.loqueleo.com/ar/libro/cartas-al-rey-de-la-cabina","VER")</f>
        <v>VER</v>
      </c>
      <c r="L72" s="56">
        <v>2016</v>
      </c>
    </row>
    <row r="73" spans="1:12" ht="12" customHeight="1">
      <c r="A73" s="45">
        <v>61069212</v>
      </c>
      <c r="B73" s="44">
        <v>9789504643715</v>
      </c>
      <c r="C73" s="44" t="s">
        <v>8</v>
      </c>
      <c r="D73" s="45" t="s">
        <v>72</v>
      </c>
      <c r="E73" s="45" t="s">
        <v>71</v>
      </c>
      <c r="F73" s="45" t="s">
        <v>460</v>
      </c>
      <c r="G73" s="26">
        <v>2990</v>
      </c>
      <c r="H73" s="26">
        <f aca="true" t="shared" si="1" ref="H73:H136">+G73/2</f>
        <v>1495</v>
      </c>
      <c r="I73" s="56"/>
      <c r="J73" s="46"/>
      <c r="K73" s="16" t="str">
        <f>HYPERLINK("https://www.loqueleo.com/ar/libro/cartas-para-julia","VER")</f>
        <v>VER</v>
      </c>
      <c r="L73" s="56">
        <v>2016</v>
      </c>
    </row>
    <row r="74" spans="1:12" ht="12" customHeight="1">
      <c r="A74" s="45">
        <v>61069220</v>
      </c>
      <c r="B74" s="44">
        <v>9789504643074</v>
      </c>
      <c r="C74" s="44" t="s">
        <v>8</v>
      </c>
      <c r="D74" s="45" t="s">
        <v>73</v>
      </c>
      <c r="E74" s="45" t="s">
        <v>74</v>
      </c>
      <c r="F74" s="45" t="s">
        <v>459</v>
      </c>
      <c r="G74" s="26">
        <v>2600</v>
      </c>
      <c r="H74" s="26">
        <f t="shared" si="1"/>
        <v>1300</v>
      </c>
      <c r="I74" s="56"/>
      <c r="J74" s="46"/>
      <c r="K74" s="16" t="str">
        <f>HYPERLINK("https://www.loqueleo.com/ar/libro/la-casa-de-rodolfo","VER")</f>
        <v>VER</v>
      </c>
      <c r="L74" s="56">
        <v>2016</v>
      </c>
    </row>
    <row r="75" spans="1:12" ht="12" customHeight="1">
      <c r="A75" s="45">
        <v>61090767</v>
      </c>
      <c r="B75" s="44">
        <v>9789504658900</v>
      </c>
      <c r="C75" s="44" t="s">
        <v>8</v>
      </c>
      <c r="D75" s="45" t="s">
        <v>75</v>
      </c>
      <c r="E75" s="45" t="s">
        <v>52</v>
      </c>
      <c r="F75" s="45" t="s">
        <v>462</v>
      </c>
      <c r="G75" s="26">
        <v>2990</v>
      </c>
      <c r="H75" s="26">
        <f t="shared" si="1"/>
        <v>1495</v>
      </c>
      <c r="I75" s="56"/>
      <c r="J75" s="46"/>
      <c r="K75" s="16" t="s">
        <v>439</v>
      </c>
      <c r="L75" s="56">
        <v>2020</v>
      </c>
    </row>
    <row r="76" spans="1:12" ht="12" customHeight="1">
      <c r="A76" s="45">
        <v>61069251</v>
      </c>
      <c r="B76" s="44">
        <v>9789504643807</v>
      </c>
      <c r="C76" s="44" t="s">
        <v>8</v>
      </c>
      <c r="D76" s="45" t="s">
        <v>77</v>
      </c>
      <c r="E76" s="45" t="s">
        <v>76</v>
      </c>
      <c r="F76" s="45" t="s">
        <v>460</v>
      </c>
      <c r="G76" s="26">
        <v>2400</v>
      </c>
      <c r="H76" s="26">
        <f t="shared" si="1"/>
        <v>1200</v>
      </c>
      <c r="I76" s="56"/>
      <c r="J76" s="46"/>
      <c r="K76" s="16" t="str">
        <f>HYPERLINK("https://www.loqueleo.com/ar/libro/el-caso-del-futbolista-enmascarado","VER")</f>
        <v>VER</v>
      </c>
      <c r="L76" s="56">
        <v>2016</v>
      </c>
    </row>
    <row r="77" spans="1:12" s="7" customFormat="1" ht="12" customHeight="1">
      <c r="A77" s="45">
        <v>61070160</v>
      </c>
      <c r="B77" s="44">
        <v>9789504646303</v>
      </c>
      <c r="C77" s="44" t="s">
        <v>8</v>
      </c>
      <c r="D77" s="45" t="s">
        <v>501</v>
      </c>
      <c r="E77" s="45" t="s">
        <v>78</v>
      </c>
      <c r="F77" s="45" t="s">
        <v>464</v>
      </c>
      <c r="G77" s="26">
        <v>2600</v>
      </c>
      <c r="H77" s="26">
        <f t="shared" si="1"/>
        <v>1300</v>
      </c>
      <c r="I77" s="56"/>
      <c r="J77" s="46"/>
      <c r="K77" s="16" t="str">
        <f>HYPERLINK("https://www.loqueleo.com/ar/libro/celeste-y-el-girasol","VER")</f>
        <v>VER</v>
      </c>
      <c r="L77" s="56">
        <v>2016</v>
      </c>
    </row>
    <row r="78" spans="1:12" ht="12" customHeight="1">
      <c r="A78" s="45">
        <v>61071771</v>
      </c>
      <c r="B78" s="44">
        <v>9789504648048</v>
      </c>
      <c r="C78" s="44" t="s">
        <v>8</v>
      </c>
      <c r="D78" s="45" t="s">
        <v>502</v>
      </c>
      <c r="E78" s="45" t="s">
        <v>78</v>
      </c>
      <c r="F78" s="45" t="s">
        <v>464</v>
      </c>
      <c r="G78" s="26">
        <v>2600</v>
      </c>
      <c r="H78" s="26">
        <f t="shared" si="1"/>
        <v>1300</v>
      </c>
      <c r="I78" s="56"/>
      <c r="J78" s="46"/>
      <c r="K78" s="16" t="str">
        <f>HYPERLINK("https://www.loqueleo.com/ar/libro/celeste-y-el-lapacho-que-no-florecia","VER")</f>
        <v>VER</v>
      </c>
      <c r="L78" s="56">
        <v>2016</v>
      </c>
    </row>
    <row r="79" spans="1:12" ht="12" customHeight="1">
      <c r="A79" s="45">
        <v>61082253</v>
      </c>
      <c r="B79" s="44">
        <v>9789504655367</v>
      </c>
      <c r="C79" s="44" t="s">
        <v>8</v>
      </c>
      <c r="D79" s="45" t="s">
        <v>503</v>
      </c>
      <c r="E79" s="45" t="s">
        <v>78</v>
      </c>
      <c r="F79" s="45" t="s">
        <v>464</v>
      </c>
      <c r="G79" s="26">
        <v>2600</v>
      </c>
      <c r="H79" s="26">
        <f t="shared" si="1"/>
        <v>1300</v>
      </c>
      <c r="I79" s="56"/>
      <c r="J79" s="46"/>
      <c r="K79" s="16" t="str">
        <f>HYPERLINK("https://www.loqueleo.com/ar/libro/celeste-y-el-pitogue","VER")</f>
        <v>VER</v>
      </c>
      <c r="L79" s="56">
        <v>2016</v>
      </c>
    </row>
    <row r="80" spans="1:12" ht="12" customHeight="1">
      <c r="A80" s="45">
        <v>61070161</v>
      </c>
      <c r="B80" s="44">
        <v>9789504646310</v>
      </c>
      <c r="C80" s="44" t="s">
        <v>8</v>
      </c>
      <c r="D80" s="45" t="s">
        <v>504</v>
      </c>
      <c r="E80" s="45" t="s">
        <v>78</v>
      </c>
      <c r="F80" s="45" t="s">
        <v>464</v>
      </c>
      <c r="G80" s="26">
        <v>2600</v>
      </c>
      <c r="H80" s="26">
        <f t="shared" si="1"/>
        <v>1300</v>
      </c>
      <c r="I80" s="56"/>
      <c r="J80" s="46"/>
      <c r="K80" s="16" t="str">
        <f>HYPERLINK("https://www.loqueleo.com/ar/libro/celeste-y-la-dinosauria-en-el-jardin","VER")</f>
        <v>VER</v>
      </c>
      <c r="L80" s="56">
        <v>2016</v>
      </c>
    </row>
    <row r="81" spans="1:12" ht="12" customHeight="1">
      <c r="A81" s="45">
        <v>61070030</v>
      </c>
      <c r="B81" s="44">
        <v>9789504644743</v>
      </c>
      <c r="C81" s="44" t="s">
        <v>8</v>
      </c>
      <c r="D81" s="45" t="s">
        <v>79</v>
      </c>
      <c r="E81" s="45" t="s">
        <v>29</v>
      </c>
      <c r="F81" s="45" t="s">
        <v>461</v>
      </c>
      <c r="G81" s="26">
        <v>2200</v>
      </c>
      <c r="H81" s="26">
        <f t="shared" si="1"/>
        <v>1100</v>
      </c>
      <c r="I81" s="56"/>
      <c r="J81" s="46"/>
      <c r="K81" s="16" t="str">
        <f>HYPERLINK("https://www.loqueleo.com/ar/libro/cenicienta-no-escarmienta","VER")</f>
        <v>VER</v>
      </c>
      <c r="L81" s="56">
        <v>2016</v>
      </c>
    </row>
    <row r="82" spans="1:12" ht="12" customHeight="1">
      <c r="A82" s="45">
        <v>61071738</v>
      </c>
      <c r="B82" s="44">
        <v>9789504648611</v>
      </c>
      <c r="C82" s="44" t="s">
        <v>8</v>
      </c>
      <c r="D82" s="45" t="s">
        <v>80</v>
      </c>
      <c r="E82" s="45" t="s">
        <v>19</v>
      </c>
      <c r="F82" s="45" t="s">
        <v>460</v>
      </c>
      <c r="G82" s="26">
        <v>2990</v>
      </c>
      <c r="H82" s="26">
        <f t="shared" si="1"/>
        <v>1495</v>
      </c>
      <c r="I82" s="56"/>
      <c r="J82" s="46"/>
      <c r="K82" s="16" t="str">
        <f>HYPERLINK("https://www.loqueleo.com/ar/libro/charlie-y-el-gran-ascensor-de-cristal","VER")</f>
        <v>VER</v>
      </c>
      <c r="L82" s="56">
        <v>2017</v>
      </c>
    </row>
    <row r="83" spans="1:12" ht="12" customHeight="1">
      <c r="A83" s="45">
        <v>61069293</v>
      </c>
      <c r="B83" s="44">
        <v>9789504643678</v>
      </c>
      <c r="C83" s="44" t="s">
        <v>8</v>
      </c>
      <c r="D83" s="45" t="s">
        <v>81</v>
      </c>
      <c r="E83" s="45" t="s">
        <v>19</v>
      </c>
      <c r="F83" s="45" t="s">
        <v>460</v>
      </c>
      <c r="G83" s="26">
        <v>2990</v>
      </c>
      <c r="H83" s="26">
        <f t="shared" si="1"/>
        <v>1495</v>
      </c>
      <c r="I83" s="56"/>
      <c r="J83" s="46"/>
      <c r="K83" s="16" t="s">
        <v>439</v>
      </c>
      <c r="L83" s="56">
        <v>2016</v>
      </c>
    </row>
    <row r="84" spans="1:12" ht="12" customHeight="1">
      <c r="A84" s="45">
        <v>61070051</v>
      </c>
      <c r="B84" s="44">
        <v>9789504645702</v>
      </c>
      <c r="C84" s="44" t="s">
        <v>8</v>
      </c>
      <c r="D84" s="45" t="s">
        <v>82</v>
      </c>
      <c r="E84" s="45" t="s">
        <v>23</v>
      </c>
      <c r="F84" s="45" t="s">
        <v>462</v>
      </c>
      <c r="G84" s="26">
        <v>2990</v>
      </c>
      <c r="H84" s="26">
        <f t="shared" si="1"/>
        <v>1495</v>
      </c>
      <c r="I84" s="56"/>
      <c r="J84" s="46" t="s">
        <v>348</v>
      </c>
      <c r="K84" s="16" t="str">
        <f>HYPERLINK("https://www.loqueleo.com/ar/libro/chat-natacha-chat","VER")</f>
        <v>VER</v>
      </c>
      <c r="L84" s="56">
        <v>2016</v>
      </c>
    </row>
    <row r="85" spans="1:12" ht="12" customHeight="1">
      <c r="A85" s="50">
        <v>61078615</v>
      </c>
      <c r="B85" s="44">
        <v>9789504653035</v>
      </c>
      <c r="C85" s="44" t="s">
        <v>8</v>
      </c>
      <c r="D85" s="50" t="s">
        <v>354</v>
      </c>
      <c r="E85" s="50" t="s">
        <v>23</v>
      </c>
      <c r="F85" s="51" t="s">
        <v>351</v>
      </c>
      <c r="G85" s="13">
        <v>3990</v>
      </c>
      <c r="H85" s="13">
        <f t="shared" si="1"/>
        <v>1995</v>
      </c>
      <c r="I85" s="56"/>
      <c r="J85" s="46" t="s">
        <v>348</v>
      </c>
      <c r="K85" s="16" t="str">
        <f>HYPERLINK("https://www.loqueleo.com/ar/libro/chat-natacha-chat-","VER")</f>
        <v>VER</v>
      </c>
      <c r="L85" s="56">
        <v>2017</v>
      </c>
    </row>
    <row r="86" spans="1:12" ht="12" customHeight="1">
      <c r="A86" s="45">
        <v>61069258</v>
      </c>
      <c r="B86" s="44">
        <v>9789504643913</v>
      </c>
      <c r="C86" s="44" t="s">
        <v>8</v>
      </c>
      <c r="D86" s="45" t="s">
        <v>83</v>
      </c>
      <c r="E86" s="45" t="s">
        <v>84</v>
      </c>
      <c r="F86" s="45" t="s">
        <v>26</v>
      </c>
      <c r="G86" s="26">
        <v>3100</v>
      </c>
      <c r="H86" s="26">
        <f t="shared" si="1"/>
        <v>1550</v>
      </c>
      <c r="I86" s="56"/>
      <c r="J86" s="46"/>
      <c r="K86" s="16" t="str">
        <f>HYPERLINK("https://www.loqueleo.com/ar/libro/las-chicas-de-alambre","VER")</f>
        <v>VER</v>
      </c>
      <c r="L86" s="56">
        <v>2016</v>
      </c>
    </row>
    <row r="87" spans="1:12" ht="12" customHeight="1">
      <c r="A87" s="45">
        <v>61070009</v>
      </c>
      <c r="B87" s="44">
        <v>9789504646105</v>
      </c>
      <c r="C87" s="44" t="s">
        <v>8</v>
      </c>
      <c r="D87" s="45" t="s">
        <v>85</v>
      </c>
      <c r="E87" s="45" t="s">
        <v>66</v>
      </c>
      <c r="F87" s="45" t="s">
        <v>460</v>
      </c>
      <c r="G87" s="26">
        <v>2990</v>
      </c>
      <c r="H87" s="26">
        <f t="shared" si="1"/>
        <v>1495</v>
      </c>
      <c r="I87" s="56"/>
      <c r="J87" s="46"/>
      <c r="K87" s="16" t="str">
        <f>HYPERLINK("https://www.loqueleo.com/ar/libro/los-chimpances-miran-a-los-ojos","VER")</f>
        <v>VER</v>
      </c>
      <c r="L87" s="56">
        <v>2015</v>
      </c>
    </row>
    <row r="88" spans="1:12" ht="12" customHeight="1">
      <c r="A88" s="45">
        <v>61090954</v>
      </c>
      <c r="B88" s="44">
        <v>9789504659136</v>
      </c>
      <c r="C88" s="44" t="s">
        <v>8</v>
      </c>
      <c r="D88" s="45" t="s">
        <v>426</v>
      </c>
      <c r="E88" s="45" t="s">
        <v>118</v>
      </c>
      <c r="F88" s="45" t="s">
        <v>459</v>
      </c>
      <c r="G88" s="26">
        <v>2600</v>
      </c>
      <c r="H88" s="26">
        <f t="shared" si="1"/>
        <v>1300</v>
      </c>
      <c r="I88" s="56"/>
      <c r="J88" s="46"/>
      <c r="K88" s="16" t="str">
        <f>HYPERLINK("https://www.loqueleo.com/ar/libro/cielito-de-mi-bandera","VER")</f>
        <v>VER</v>
      </c>
      <c r="L88" s="56">
        <v>2020</v>
      </c>
    </row>
    <row r="89" spans="1:12" ht="12" customHeight="1">
      <c r="A89" s="45">
        <v>61071801</v>
      </c>
      <c r="B89" s="44">
        <v>9789504647782</v>
      </c>
      <c r="C89" s="44" t="s">
        <v>8</v>
      </c>
      <c r="D89" s="45" t="s">
        <v>505</v>
      </c>
      <c r="E89" s="45" t="s">
        <v>52</v>
      </c>
      <c r="F89" s="45" t="s">
        <v>465</v>
      </c>
      <c r="G89" s="26">
        <v>2990</v>
      </c>
      <c r="H89" s="26">
        <f t="shared" si="1"/>
        <v>1495</v>
      </c>
      <c r="I89" s="56"/>
      <c r="J89" s="46"/>
      <c r="K89" s="16" t="str">
        <f>HYPERLINK("https://www.loqueleo.com/ar/libro/cinthia-scoch.-el-libro-de-la-risa","VER")</f>
        <v>VER</v>
      </c>
      <c r="L89" s="56">
        <v>2016</v>
      </c>
    </row>
    <row r="90" spans="1:12" ht="12" customHeight="1">
      <c r="A90" s="45">
        <v>61070003</v>
      </c>
      <c r="B90" s="44">
        <v>9789504646044</v>
      </c>
      <c r="C90" s="44" t="s">
        <v>8</v>
      </c>
      <c r="D90" s="45" t="s">
        <v>87</v>
      </c>
      <c r="E90" s="45" t="s">
        <v>66</v>
      </c>
      <c r="F90" s="45" t="s">
        <v>460</v>
      </c>
      <c r="G90" s="26">
        <v>2990</v>
      </c>
      <c r="H90" s="26">
        <f t="shared" si="1"/>
        <v>1495</v>
      </c>
      <c r="I90" s="56"/>
      <c r="J90" s="46"/>
      <c r="K90" s="16" t="str">
        <f>HYPERLINK("https://www.loqueleo.com/ar/libro/el-circulo-de-la-suerte","VER")</f>
        <v>VER</v>
      </c>
      <c r="L90" s="56">
        <v>2015</v>
      </c>
    </row>
    <row r="91" spans="1:12" ht="12" customHeight="1">
      <c r="A91" s="45">
        <v>61070158</v>
      </c>
      <c r="B91" s="44">
        <v>9789504647157</v>
      </c>
      <c r="C91" s="44" t="s">
        <v>8</v>
      </c>
      <c r="D91" s="45" t="s">
        <v>376</v>
      </c>
      <c r="E91" s="45" t="s">
        <v>23</v>
      </c>
      <c r="F91" s="45" t="s">
        <v>26</v>
      </c>
      <c r="G91" s="26">
        <v>3100</v>
      </c>
      <c r="H91" s="26">
        <f t="shared" si="1"/>
        <v>1550</v>
      </c>
      <c r="I91" s="56"/>
      <c r="J91" s="46"/>
      <c r="K91" s="16" t="str">
        <f>HYPERLINK("https://www.loqueleo.com/ar/libro/el-ciudadano-de-mis-zapatos","VER")</f>
        <v>VER</v>
      </c>
      <c r="L91" s="56">
        <v>2016</v>
      </c>
    </row>
    <row r="92" spans="1:12" ht="12" customHeight="1">
      <c r="A92" s="45">
        <v>61077951</v>
      </c>
      <c r="B92" s="44">
        <v>9789504658481</v>
      </c>
      <c r="C92" s="44" t="s">
        <v>8</v>
      </c>
      <c r="D92" s="45" t="s">
        <v>418</v>
      </c>
      <c r="E92" s="45" t="s">
        <v>30</v>
      </c>
      <c r="F92" s="45" t="s">
        <v>465</v>
      </c>
      <c r="G92" s="26">
        <v>2990</v>
      </c>
      <c r="H92" s="26">
        <f t="shared" si="1"/>
        <v>1495</v>
      </c>
      <c r="I92" s="56"/>
      <c r="J92" s="46"/>
      <c r="K92" s="16" t="str">
        <f>HYPERLINK("https://www.loqueleo.com/ar/libro/clarita-fue-a-la-china","VER")</f>
        <v>VER</v>
      </c>
      <c r="L92" s="56">
        <v>2019</v>
      </c>
    </row>
    <row r="93" spans="1:12" ht="12" customHeight="1">
      <c r="A93" s="45">
        <v>61089588</v>
      </c>
      <c r="B93" s="44">
        <v>9789504658498</v>
      </c>
      <c r="C93" s="44" t="s">
        <v>8</v>
      </c>
      <c r="D93" s="45" t="s">
        <v>419</v>
      </c>
      <c r="E93" s="45" t="s">
        <v>30</v>
      </c>
      <c r="F93" s="45" t="s">
        <v>465</v>
      </c>
      <c r="G93" s="26">
        <v>2990</v>
      </c>
      <c r="H93" s="26">
        <f t="shared" si="1"/>
        <v>1495</v>
      </c>
      <c r="I93" s="56"/>
      <c r="J93" s="46"/>
      <c r="K93" s="16" t="str">
        <f>HYPERLINK("https://www.loqueleo.com/ar/libro/clarita-se-volvio-invisible","VER")</f>
        <v>VER</v>
      </c>
      <c r="L93" s="56">
        <v>2019</v>
      </c>
    </row>
    <row r="94" spans="1:12" ht="12" customHeight="1">
      <c r="A94" s="45">
        <v>61085963</v>
      </c>
      <c r="B94" s="44">
        <v>9789504657415</v>
      </c>
      <c r="C94" s="44" t="s">
        <v>8</v>
      </c>
      <c r="D94" s="45" t="s">
        <v>397</v>
      </c>
      <c r="E94" s="45" t="s">
        <v>52</v>
      </c>
      <c r="F94" s="45" t="s">
        <v>396</v>
      </c>
      <c r="G94" s="26">
        <v>4300</v>
      </c>
      <c r="H94" s="26">
        <f t="shared" si="1"/>
        <v>2150</v>
      </c>
      <c r="I94" s="56"/>
      <c r="J94" s="46"/>
      <c r="K94" s="16" t="str">
        <f>HYPERLINK("https://www.loqueleo.com/ar/libro/el-colectivo-fantasma","VER")</f>
        <v>VER</v>
      </c>
      <c r="L94" s="56">
        <v>2018</v>
      </c>
    </row>
    <row r="95" spans="1:12" ht="12" customHeight="1">
      <c r="A95" s="45">
        <v>61070022</v>
      </c>
      <c r="B95" s="44">
        <v>9789504643944</v>
      </c>
      <c r="C95" s="44" t="s">
        <v>8</v>
      </c>
      <c r="D95" s="45" t="s">
        <v>88</v>
      </c>
      <c r="E95" s="45" t="s">
        <v>43</v>
      </c>
      <c r="F95" s="45" t="s">
        <v>461</v>
      </c>
      <c r="G95" s="26">
        <v>2400</v>
      </c>
      <c r="H95" s="26">
        <f t="shared" si="1"/>
        <v>1200</v>
      </c>
      <c r="I95" s="56"/>
      <c r="J95" s="46"/>
      <c r="K95" s="16" t="str">
        <f>HYPERLINK("https://www.loqueleo.com/ar/libro/colon-agarra-viaje-a-toda-costa","VER")</f>
        <v>VER</v>
      </c>
      <c r="L95" s="56">
        <v>2016</v>
      </c>
    </row>
    <row r="96" spans="1:12" ht="12" customHeight="1">
      <c r="A96" s="45">
        <v>61069265</v>
      </c>
      <c r="B96" s="44">
        <v>9789504643432</v>
      </c>
      <c r="C96" s="44" t="s">
        <v>8</v>
      </c>
      <c r="D96" s="45" t="s">
        <v>89</v>
      </c>
      <c r="E96" s="45" t="s">
        <v>10</v>
      </c>
      <c r="F96" s="45" t="s">
        <v>463</v>
      </c>
      <c r="G96" s="26">
        <v>2200</v>
      </c>
      <c r="H96" s="26">
        <f t="shared" si="1"/>
        <v>1100</v>
      </c>
      <c r="I96" s="56"/>
      <c r="J96" s="46"/>
      <c r="K96" s="16" t="str">
        <f>HYPERLINK("https://www.loqueleo.com/ar/libro/buenas-noches","VER")</f>
        <v>VER</v>
      </c>
      <c r="L96" s="56">
        <v>2016</v>
      </c>
    </row>
    <row r="97" spans="1:12" ht="12" customHeight="1">
      <c r="A97" s="45">
        <v>61074010</v>
      </c>
      <c r="B97" s="44">
        <v>9789504652595</v>
      </c>
      <c r="C97" s="44" t="s">
        <v>8</v>
      </c>
      <c r="D97" s="45" t="s">
        <v>352</v>
      </c>
      <c r="E97" s="45" t="s">
        <v>90</v>
      </c>
      <c r="F97" s="45" t="s">
        <v>462</v>
      </c>
      <c r="G97" s="26">
        <v>2990</v>
      </c>
      <c r="H97" s="26">
        <f t="shared" si="1"/>
        <v>1495</v>
      </c>
      <c r="I97" s="56"/>
      <c r="J97" s="46"/>
      <c r="K97" s="16" t="str">
        <f>HYPERLINK("https://www.loqueleo.com/ar/libro/como-escribir-la-novela-de-tu-vida","VER")</f>
        <v>VER</v>
      </c>
      <c r="L97" s="56">
        <v>2017</v>
      </c>
    </row>
    <row r="98" spans="1:12" ht="12" customHeight="1">
      <c r="A98" s="45">
        <v>61070015</v>
      </c>
      <c r="B98" s="44">
        <v>9789504646006</v>
      </c>
      <c r="C98" s="44" t="s">
        <v>8</v>
      </c>
      <c r="D98" s="45" t="s">
        <v>91</v>
      </c>
      <c r="E98" s="45" t="s">
        <v>90</v>
      </c>
      <c r="F98" s="45" t="s">
        <v>460</v>
      </c>
      <c r="G98" s="26">
        <v>2990</v>
      </c>
      <c r="H98" s="26">
        <f t="shared" si="1"/>
        <v>1495</v>
      </c>
      <c r="I98" s="56"/>
      <c r="J98" s="46"/>
      <c r="K98" s="16" t="str">
        <f>HYPERLINK("https://www.loqueleo.com/ar/libro/como-si-no-hubiera-que-cruzar-el-mar","VER")</f>
        <v>VER</v>
      </c>
      <c r="L98" s="56">
        <v>2016</v>
      </c>
    </row>
    <row r="99" spans="1:12" ht="12" customHeight="1">
      <c r="A99" s="45">
        <v>61082251</v>
      </c>
      <c r="B99" s="44">
        <v>9789504655190</v>
      </c>
      <c r="C99" s="44" t="s">
        <v>8</v>
      </c>
      <c r="D99" s="45" t="s">
        <v>372</v>
      </c>
      <c r="E99" s="45" t="s">
        <v>50</v>
      </c>
      <c r="F99" s="45" t="s">
        <v>460</v>
      </c>
      <c r="G99" s="26">
        <v>2990</v>
      </c>
      <c r="H99" s="26">
        <f t="shared" si="1"/>
        <v>1495</v>
      </c>
      <c r="I99" s="56"/>
      <c r="J99" s="46"/>
      <c r="K99" s="16" t="str">
        <f>HYPERLINK("https://www.loqueleo.com/ar/libro/conexion-alteris","VER")</f>
        <v>VER</v>
      </c>
      <c r="L99" s="56">
        <v>2018</v>
      </c>
    </row>
    <row r="100" spans="1:12" ht="12" customHeight="1">
      <c r="A100" s="45">
        <v>61069975</v>
      </c>
      <c r="B100" s="44">
        <v>9789504646433</v>
      </c>
      <c r="C100" s="44" t="s">
        <v>8</v>
      </c>
      <c r="D100" s="45" t="s">
        <v>93</v>
      </c>
      <c r="E100" s="45" t="s">
        <v>43</v>
      </c>
      <c r="F100" s="45" t="s">
        <v>459</v>
      </c>
      <c r="G100" s="26">
        <v>2600</v>
      </c>
      <c r="H100" s="26">
        <f t="shared" si="1"/>
        <v>1300</v>
      </c>
      <c r="I100" s="56"/>
      <c r="J100" s="46"/>
      <c r="K100" s="16" t="str">
        <f>HYPERLINK("https://www.loqueleo.com/ar/libro/contemos-uno-dos-tres-y-vayamos-a-1810","VER")</f>
        <v>VER</v>
      </c>
      <c r="L100" s="56">
        <v>2016</v>
      </c>
    </row>
    <row r="101" spans="1:12" ht="12" customHeight="1">
      <c r="A101" s="45">
        <v>61070099</v>
      </c>
      <c r="B101" s="44">
        <v>9789504646983</v>
      </c>
      <c r="C101" s="44" t="s">
        <v>8</v>
      </c>
      <c r="D101" s="45" t="s">
        <v>94</v>
      </c>
      <c r="E101" s="45" t="s">
        <v>12</v>
      </c>
      <c r="F101" s="45" t="s">
        <v>462</v>
      </c>
      <c r="G101" s="26">
        <v>2990</v>
      </c>
      <c r="H101" s="26">
        <f t="shared" si="1"/>
        <v>1495</v>
      </c>
      <c r="I101" s="56"/>
      <c r="J101" s="46"/>
      <c r="K101" s="16" t="str">
        <f>HYPERLINK("https://www.loqueleo.com/ar/libro/corazonadas","VER")</f>
        <v>VER</v>
      </c>
      <c r="L101" s="56">
        <v>2016</v>
      </c>
    </row>
    <row r="102" spans="1:12" s="28" customFormat="1" ht="12" customHeight="1">
      <c r="A102" s="45">
        <v>61070095</v>
      </c>
      <c r="B102" s="44">
        <v>9789504645641</v>
      </c>
      <c r="C102" s="44" t="s">
        <v>8</v>
      </c>
      <c r="D102" s="45" t="s">
        <v>95</v>
      </c>
      <c r="E102" s="45" t="s">
        <v>86</v>
      </c>
      <c r="F102" s="45" t="s">
        <v>462</v>
      </c>
      <c r="G102" s="26">
        <v>2400</v>
      </c>
      <c r="H102" s="26">
        <f t="shared" si="1"/>
        <v>1200</v>
      </c>
      <c r="I102" s="56"/>
      <c r="J102" s="46"/>
      <c r="K102" s="16" t="str">
        <f>HYPERLINK("https://www.loqueleo.com/ar/libro/las-cosas-que-odio","VER")</f>
        <v>VER</v>
      </c>
      <c r="L102" s="56">
        <v>2016</v>
      </c>
    </row>
    <row r="103" spans="1:12" s="28" customFormat="1" ht="12" customHeight="1">
      <c r="A103" s="45">
        <v>61086875</v>
      </c>
      <c r="B103" s="44">
        <v>9789504657958</v>
      </c>
      <c r="C103" s="44" t="s">
        <v>8</v>
      </c>
      <c r="D103" s="45" t="s">
        <v>403</v>
      </c>
      <c r="E103" s="45" t="s">
        <v>404</v>
      </c>
      <c r="F103" s="45" t="s">
        <v>462</v>
      </c>
      <c r="G103" s="26">
        <v>2400</v>
      </c>
      <c r="H103" s="26">
        <f t="shared" si="1"/>
        <v>1200</v>
      </c>
      <c r="I103" s="56"/>
      <c r="J103" s="46"/>
      <c r="K103" s="16" t="str">
        <f>HYPERLINK("https://www.loqueleo.com/ar/libro/las-cosas-que-quiero","VER")</f>
        <v>VER</v>
      </c>
      <c r="L103" s="56">
        <v>2019</v>
      </c>
    </row>
    <row r="104" spans="1:12" s="28" customFormat="1" ht="12" customHeight="1">
      <c r="A104" s="45">
        <v>61069989</v>
      </c>
      <c r="B104" s="44">
        <v>9789504646921</v>
      </c>
      <c r="C104" s="44" t="s">
        <v>8</v>
      </c>
      <c r="D104" s="45" t="s">
        <v>506</v>
      </c>
      <c r="E104" s="45" t="s">
        <v>96</v>
      </c>
      <c r="F104" s="45" t="s">
        <v>459</v>
      </c>
      <c r="G104" s="26">
        <v>2600</v>
      </c>
      <c r="H104" s="26">
        <f t="shared" si="1"/>
        <v>1300</v>
      </c>
      <c r="I104" s="56"/>
      <c r="J104" s="46"/>
      <c r="K104" s="16" t="str">
        <f>HYPERLINK("https://www.loqueleo.com/ar/libro/cositos","VER")</f>
        <v>VER</v>
      </c>
      <c r="L104" s="56">
        <v>2016</v>
      </c>
    </row>
    <row r="105" spans="1:12" ht="12" customHeight="1">
      <c r="A105" s="45">
        <v>61070068</v>
      </c>
      <c r="B105" s="44">
        <v>9789504647041</v>
      </c>
      <c r="C105" s="44" t="s">
        <v>8</v>
      </c>
      <c r="D105" s="45" t="s">
        <v>97</v>
      </c>
      <c r="E105" s="45" t="s">
        <v>19</v>
      </c>
      <c r="F105" s="45" t="s">
        <v>462</v>
      </c>
      <c r="G105" s="26">
        <v>2400</v>
      </c>
      <c r="H105" s="26">
        <f t="shared" si="1"/>
        <v>1200</v>
      </c>
      <c r="I105" s="56"/>
      <c r="J105" s="46"/>
      <c r="K105" s="16" t="str">
        <f>HYPERLINK("https://www.loqueleo.com/ar/libro/los-cretinos","VER")</f>
        <v>VER</v>
      </c>
      <c r="L105" s="56">
        <v>2016</v>
      </c>
    </row>
    <row r="106" spans="1:12" ht="12" customHeight="1">
      <c r="A106" s="45">
        <v>61070200</v>
      </c>
      <c r="B106" s="44">
        <v>9789504645795</v>
      </c>
      <c r="C106" s="44" t="s">
        <v>8</v>
      </c>
      <c r="D106" s="45" t="s">
        <v>98</v>
      </c>
      <c r="E106" s="45" t="s">
        <v>62</v>
      </c>
      <c r="F106" s="45" t="s">
        <v>462</v>
      </c>
      <c r="G106" s="26">
        <v>2400</v>
      </c>
      <c r="H106" s="26">
        <f t="shared" si="1"/>
        <v>1200</v>
      </c>
      <c r="I106" s="56"/>
      <c r="J106" s="46"/>
      <c r="K106" s="16" t="str">
        <f>HYPERLINK("https://www.loqueleo.com/ar/libro/crimen-en-el-arca","VER")</f>
        <v>VER</v>
      </c>
      <c r="L106" s="56">
        <v>2016</v>
      </c>
    </row>
    <row r="107" spans="1:12" ht="12" customHeight="1">
      <c r="A107" s="45">
        <v>61070109</v>
      </c>
      <c r="B107" s="44">
        <v>9789504646990</v>
      </c>
      <c r="C107" s="44" t="s">
        <v>8</v>
      </c>
      <c r="D107" s="45" t="s">
        <v>99</v>
      </c>
      <c r="E107" s="45" t="s">
        <v>12</v>
      </c>
      <c r="F107" s="45" t="s">
        <v>462</v>
      </c>
      <c r="G107" s="26">
        <v>2990</v>
      </c>
      <c r="H107" s="26">
        <f t="shared" si="1"/>
        <v>1495</v>
      </c>
      <c r="I107" s="56"/>
      <c r="J107" s="46"/>
      <c r="K107" s="16" t="str">
        <f>HYPERLINK("https://www.loqueleo.com/ar/libro/cuadernos-de-un-delfin","VER")</f>
        <v>VER</v>
      </c>
      <c r="L107" s="56">
        <v>2016</v>
      </c>
    </row>
    <row r="108" spans="1:12" ht="12" customHeight="1">
      <c r="A108" s="45">
        <v>61069224</v>
      </c>
      <c r="B108" s="44">
        <v>9789504643746</v>
      </c>
      <c r="C108" s="44" t="s">
        <v>8</v>
      </c>
      <c r="D108" s="45" t="s">
        <v>100</v>
      </c>
      <c r="E108" s="45" t="s">
        <v>101</v>
      </c>
      <c r="F108" s="45" t="s">
        <v>460</v>
      </c>
      <c r="G108" s="26">
        <v>2990</v>
      </c>
      <c r="H108" s="26">
        <f t="shared" si="1"/>
        <v>1495</v>
      </c>
      <c r="I108" s="56"/>
      <c r="J108" s="46" t="s">
        <v>348</v>
      </c>
      <c r="K108" s="16" t="str">
        <f>HYPERLINK("https://www.loqueleo.com/ar/libro/cuando-hitler-robo-el-conejo-rosa","VER")</f>
        <v>VER</v>
      </c>
      <c r="L108" s="56">
        <v>2016</v>
      </c>
    </row>
    <row r="109" spans="1:12" ht="12" customHeight="1">
      <c r="A109" s="21">
        <v>61101556</v>
      </c>
      <c r="B109" s="21">
        <v>9789504671145</v>
      </c>
      <c r="C109" s="21" t="s">
        <v>8</v>
      </c>
      <c r="D109" s="22" t="s">
        <v>507</v>
      </c>
      <c r="E109" s="23" t="s">
        <v>30</v>
      </c>
      <c r="F109" s="24" t="s">
        <v>465</v>
      </c>
      <c r="G109" s="25">
        <v>2990</v>
      </c>
      <c r="H109" s="25">
        <f t="shared" si="1"/>
        <v>1495</v>
      </c>
      <c r="I109" s="30"/>
      <c r="J109" s="47" t="s">
        <v>508</v>
      </c>
      <c r="K109" s="52" t="s">
        <v>439</v>
      </c>
      <c r="L109" s="30">
        <v>2023</v>
      </c>
    </row>
    <row r="110" spans="1:12" ht="12" customHeight="1">
      <c r="A110" s="45">
        <v>61070002</v>
      </c>
      <c r="B110" s="44">
        <v>9789504646945</v>
      </c>
      <c r="C110" s="44" t="s">
        <v>8</v>
      </c>
      <c r="D110" s="45" t="s">
        <v>102</v>
      </c>
      <c r="E110" s="45" t="s">
        <v>62</v>
      </c>
      <c r="F110" s="45" t="s">
        <v>459</v>
      </c>
      <c r="G110" s="26">
        <v>2600</v>
      </c>
      <c r="H110" s="26">
        <f t="shared" si="1"/>
        <v>1300</v>
      </c>
      <c r="I110" s="56"/>
      <c r="J110" s="46"/>
      <c r="K110" s="16" t="str">
        <f>HYPERLINK("https://www.loqueleo.com/ar/libro/cuento-con-sapo-y-arco-iris","VER")</f>
        <v>VER</v>
      </c>
      <c r="L110" s="56">
        <v>2016</v>
      </c>
    </row>
    <row r="111" spans="1:12" ht="12" customHeight="1">
      <c r="A111" s="45">
        <v>61070070</v>
      </c>
      <c r="B111" s="44">
        <v>9789504644040</v>
      </c>
      <c r="C111" s="44" t="s">
        <v>8</v>
      </c>
      <c r="D111" s="45" t="s">
        <v>103</v>
      </c>
      <c r="E111" s="45" t="s">
        <v>12</v>
      </c>
      <c r="F111" s="45" t="s">
        <v>461</v>
      </c>
      <c r="G111" s="26">
        <v>2400</v>
      </c>
      <c r="H111" s="26">
        <f t="shared" si="1"/>
        <v>1200</v>
      </c>
      <c r="I111" s="56"/>
      <c r="J111" s="46"/>
      <c r="K111" s="16" t="str">
        <f>HYPERLINK("https://www.loqueleo.com/ar/libro/cuentos-a-salto-de-canguro","VER")</f>
        <v>VER</v>
      </c>
      <c r="L111" s="56">
        <v>2016</v>
      </c>
    </row>
    <row r="112" spans="1:12" ht="12" customHeight="1">
      <c r="A112" s="45">
        <v>61070112</v>
      </c>
      <c r="B112" s="44">
        <v>9789504647027</v>
      </c>
      <c r="C112" s="44" t="s">
        <v>8</v>
      </c>
      <c r="D112" s="45" t="s">
        <v>104</v>
      </c>
      <c r="E112" s="45" t="s">
        <v>105</v>
      </c>
      <c r="F112" s="45" t="s">
        <v>462</v>
      </c>
      <c r="G112" s="26">
        <v>2400</v>
      </c>
      <c r="H112" s="26">
        <f t="shared" si="1"/>
        <v>1200</v>
      </c>
      <c r="I112" s="56"/>
      <c r="J112" s="46"/>
      <c r="K112" s="16" t="str">
        <f>HYPERLINK("https://www.loqueleo.com/ar/libro/cuentos-con-brujas","VER")</f>
        <v>VER</v>
      </c>
      <c r="L112" s="56">
        <v>2016</v>
      </c>
    </row>
    <row r="113" spans="1:12" ht="12" customHeight="1">
      <c r="A113" s="45">
        <v>61069255</v>
      </c>
      <c r="B113" s="44">
        <v>9789504643586</v>
      </c>
      <c r="C113" s="44" t="s">
        <v>8</v>
      </c>
      <c r="D113" s="45" t="s">
        <v>106</v>
      </c>
      <c r="E113" s="45" t="s">
        <v>86</v>
      </c>
      <c r="F113" s="45" t="s">
        <v>462</v>
      </c>
      <c r="G113" s="26">
        <v>2990</v>
      </c>
      <c r="H113" s="26">
        <f t="shared" si="1"/>
        <v>1495</v>
      </c>
      <c r="I113" s="56"/>
      <c r="J113" s="46"/>
      <c r="K113" s="16" t="str">
        <f>HYPERLINK("https://www.loqueleo.com/ar/libro/cuentos-con-magia","VER")</f>
        <v>VER</v>
      </c>
      <c r="L113" s="56">
        <v>2016</v>
      </c>
    </row>
    <row r="114" spans="1:12" ht="12" customHeight="1">
      <c r="A114" s="45">
        <v>61082248</v>
      </c>
      <c r="B114" s="44">
        <v>9789504654902</v>
      </c>
      <c r="C114" s="44" t="s">
        <v>8</v>
      </c>
      <c r="D114" s="45" t="s">
        <v>368</v>
      </c>
      <c r="E114" s="45" t="s">
        <v>25</v>
      </c>
      <c r="F114" s="45" t="s">
        <v>465</v>
      </c>
      <c r="G114" s="26">
        <v>2990</v>
      </c>
      <c r="H114" s="26">
        <f t="shared" si="1"/>
        <v>1495</v>
      </c>
      <c r="I114" s="56"/>
      <c r="J114" s="46"/>
      <c r="K114" s="16" t="s">
        <v>439</v>
      </c>
      <c r="L114" s="56">
        <v>2018</v>
      </c>
    </row>
    <row r="115" spans="1:12" ht="12" customHeight="1">
      <c r="A115" s="45">
        <v>61070122</v>
      </c>
      <c r="B115" s="44">
        <v>9789504647058</v>
      </c>
      <c r="C115" s="44" t="s">
        <v>8</v>
      </c>
      <c r="D115" s="45" t="s">
        <v>107</v>
      </c>
      <c r="E115" s="45" t="s">
        <v>19</v>
      </c>
      <c r="F115" s="45" t="s">
        <v>462</v>
      </c>
      <c r="G115" s="26">
        <v>2400</v>
      </c>
      <c r="H115" s="26">
        <f t="shared" si="1"/>
        <v>1200</v>
      </c>
      <c r="I115" s="56"/>
      <c r="J115" s="46"/>
      <c r="K115" s="16" t="str">
        <f>HYPERLINK("https://www.loqueleo.com/ar/libro/cuentos-en-verso-para-ninos-perversos","VER")</f>
        <v>VER</v>
      </c>
      <c r="L115" s="56">
        <v>2016</v>
      </c>
    </row>
    <row r="116" spans="1:12" ht="12" customHeight="1">
      <c r="A116" s="45">
        <v>61070114</v>
      </c>
      <c r="B116" s="44">
        <v>9789504645658</v>
      </c>
      <c r="C116" s="44" t="s">
        <v>8</v>
      </c>
      <c r="D116" s="45" t="s">
        <v>108</v>
      </c>
      <c r="E116" s="45" t="s">
        <v>52</v>
      </c>
      <c r="F116" s="45" t="s">
        <v>462</v>
      </c>
      <c r="G116" s="26">
        <v>2400</v>
      </c>
      <c r="H116" s="26">
        <f t="shared" si="1"/>
        <v>1200</v>
      </c>
      <c r="I116" s="56"/>
      <c r="J116" s="46"/>
      <c r="K116" s="16" t="str">
        <f>HYPERLINK("https://www.loqueleo.com/ar/libro/cuentos-espantosos","VER")</f>
        <v>VER</v>
      </c>
      <c r="L116" s="56">
        <v>2016</v>
      </c>
    </row>
    <row r="117" spans="1:12" ht="12" customHeight="1">
      <c r="A117" s="45">
        <v>61070005</v>
      </c>
      <c r="B117" s="44">
        <v>9789504644385</v>
      </c>
      <c r="C117" s="44" t="s">
        <v>8</v>
      </c>
      <c r="D117" s="45" t="s">
        <v>110</v>
      </c>
      <c r="E117" s="45" t="s">
        <v>111</v>
      </c>
      <c r="F117" s="45" t="s">
        <v>461</v>
      </c>
      <c r="G117" s="26">
        <v>2200</v>
      </c>
      <c r="H117" s="26">
        <f t="shared" si="1"/>
        <v>1100</v>
      </c>
      <c r="I117" s="56"/>
      <c r="J117" s="46"/>
      <c r="K117" s="16" t="str">
        <f>HYPERLINK("https://www.loqueleo.com/ar/libro/cuentos-mas-o-menos-contados","VER")</f>
        <v>VER</v>
      </c>
      <c r="L117" s="56">
        <v>2016</v>
      </c>
    </row>
    <row r="118" spans="1:12" ht="12" customHeight="1">
      <c r="A118" s="45">
        <v>61071819</v>
      </c>
      <c r="B118" s="44">
        <v>9789504648789</v>
      </c>
      <c r="C118" s="44" t="s">
        <v>8</v>
      </c>
      <c r="D118" s="45" t="s">
        <v>112</v>
      </c>
      <c r="E118" s="45" t="s">
        <v>62</v>
      </c>
      <c r="F118" s="45" t="s">
        <v>460</v>
      </c>
      <c r="G118" s="26">
        <v>2990</v>
      </c>
      <c r="H118" s="26">
        <f t="shared" si="1"/>
        <v>1495</v>
      </c>
      <c r="I118" s="56"/>
      <c r="J118" s="46"/>
      <c r="K118" s="16" t="str">
        <f>HYPERLINK("https://www.loqueleo.com/ar/libro/cuentos-que-cuentan-los-indios","VER")</f>
        <v>VER</v>
      </c>
      <c r="L118" s="56">
        <v>2015</v>
      </c>
    </row>
    <row r="119" spans="1:12" ht="12" customHeight="1">
      <c r="A119" s="45">
        <v>61069207</v>
      </c>
      <c r="B119" s="44">
        <v>9789504643265</v>
      </c>
      <c r="C119" s="44" t="s">
        <v>8</v>
      </c>
      <c r="D119" s="45" t="s">
        <v>113</v>
      </c>
      <c r="E119" s="45" t="s">
        <v>96</v>
      </c>
      <c r="F119" s="45" t="s">
        <v>461</v>
      </c>
      <c r="G119" s="26">
        <v>2200</v>
      </c>
      <c r="H119" s="26">
        <f t="shared" si="1"/>
        <v>1100</v>
      </c>
      <c r="I119" s="56"/>
      <c r="J119" s="46"/>
      <c r="K119" s="16" t="str">
        <f>HYPERLINK("https://www.loqueleo.com/ar/libro/cuentos-que-no-son-cuento","VER")</f>
        <v>VER</v>
      </c>
      <c r="L119" s="56">
        <v>2016</v>
      </c>
    </row>
    <row r="120" spans="1:12" ht="12" customHeight="1">
      <c r="A120" s="45">
        <v>61070020</v>
      </c>
      <c r="B120" s="44">
        <v>9789504644453</v>
      </c>
      <c r="C120" s="44" t="s">
        <v>8</v>
      </c>
      <c r="D120" s="45" t="s">
        <v>114</v>
      </c>
      <c r="E120" s="45" t="s">
        <v>52</v>
      </c>
      <c r="F120" s="45" t="s">
        <v>461</v>
      </c>
      <c r="G120" s="26">
        <v>2200</v>
      </c>
      <c r="H120" s="26">
        <f t="shared" si="1"/>
        <v>1100</v>
      </c>
      <c r="I120" s="56"/>
      <c r="J120" s="46"/>
      <c r="K120" s="16" t="str">
        <f>HYPERLINK("https://www.loqueleo.com/ar/libro/cuentos-ridiculos","VER")</f>
        <v>VER</v>
      </c>
      <c r="L120" s="56">
        <v>2016</v>
      </c>
    </row>
    <row r="121" spans="1:12" ht="12" customHeight="1">
      <c r="A121" s="45">
        <v>61070092</v>
      </c>
      <c r="B121" s="44">
        <v>9789504644491</v>
      </c>
      <c r="C121" s="44" t="s">
        <v>8</v>
      </c>
      <c r="D121" s="45" t="s">
        <v>115</v>
      </c>
      <c r="E121" s="45" t="s">
        <v>116</v>
      </c>
      <c r="F121" s="45" t="s">
        <v>461</v>
      </c>
      <c r="G121" s="26">
        <v>2200</v>
      </c>
      <c r="H121" s="26">
        <f t="shared" si="1"/>
        <v>1100</v>
      </c>
      <c r="I121" s="56"/>
      <c r="J121" s="46"/>
      <c r="K121" s="16" t="str">
        <f>HYPERLINK("https://www.loqueleo.com/ar/libro/cuentos-y-leyendas-de-argentina-y-america","VER")</f>
        <v>VER</v>
      </c>
      <c r="L121" s="56">
        <v>2016</v>
      </c>
    </row>
    <row r="122" spans="1:12" s="7" customFormat="1" ht="12" customHeight="1">
      <c r="A122" s="45">
        <v>61069995</v>
      </c>
      <c r="B122" s="44">
        <v>9789504644477</v>
      </c>
      <c r="C122" s="44" t="s">
        <v>8</v>
      </c>
      <c r="D122" s="45" t="s">
        <v>117</v>
      </c>
      <c r="E122" s="45" t="s">
        <v>118</v>
      </c>
      <c r="F122" s="45" t="s">
        <v>461</v>
      </c>
      <c r="G122" s="26">
        <v>2400</v>
      </c>
      <c r="H122" s="26">
        <f t="shared" si="1"/>
        <v>1200</v>
      </c>
      <c r="I122" s="56"/>
      <c r="J122" s="46"/>
      <c r="K122" s="16" t="str">
        <f>HYPERLINK("https://www.loqueleo.com/ar/libro/cuidado-con-el-perro","VER")</f>
        <v>VER</v>
      </c>
      <c r="L122" s="56">
        <v>2016</v>
      </c>
    </row>
    <row r="123" spans="1:12" ht="12" customHeight="1">
      <c r="A123" s="45">
        <v>61070057</v>
      </c>
      <c r="B123" s="44">
        <v>9789504645771</v>
      </c>
      <c r="C123" s="44" t="s">
        <v>8</v>
      </c>
      <c r="D123" s="45" t="s">
        <v>119</v>
      </c>
      <c r="E123" s="45" t="s">
        <v>52</v>
      </c>
      <c r="F123" s="45" t="s">
        <v>462</v>
      </c>
      <c r="G123" s="26">
        <v>2990</v>
      </c>
      <c r="H123" s="26">
        <f t="shared" si="1"/>
        <v>1495</v>
      </c>
      <c r="I123" s="56"/>
      <c r="J123" s="46"/>
      <c r="K123" s="16" t="str">
        <f>HYPERLINK("https://www.loqueleo.com/ar/libro/cupido-13","VER")</f>
        <v>VER</v>
      </c>
      <c r="L123" s="56">
        <v>2016</v>
      </c>
    </row>
    <row r="124" spans="1:12" ht="12" customHeight="1">
      <c r="A124" s="21">
        <v>61090406</v>
      </c>
      <c r="B124" s="21">
        <v>9789504658726</v>
      </c>
      <c r="C124" s="21" t="s">
        <v>8</v>
      </c>
      <c r="D124" s="22" t="s">
        <v>454</v>
      </c>
      <c r="E124" s="23" t="s">
        <v>109</v>
      </c>
      <c r="F124" s="24" t="s">
        <v>455</v>
      </c>
      <c r="G124" s="25">
        <v>4200</v>
      </c>
      <c r="H124" s="25">
        <f t="shared" si="1"/>
        <v>2100</v>
      </c>
      <c r="I124" s="30"/>
      <c r="J124" s="20" t="s">
        <v>497</v>
      </c>
      <c r="K124" s="29" t="s">
        <v>439</v>
      </c>
      <c r="L124" s="30">
        <v>2021</v>
      </c>
    </row>
    <row r="125" spans="1:12" ht="12" customHeight="1">
      <c r="A125" s="21">
        <v>61090405</v>
      </c>
      <c r="B125" s="21">
        <v>9789504658733</v>
      </c>
      <c r="C125" s="21" t="s">
        <v>8</v>
      </c>
      <c r="D125" s="22" t="s">
        <v>453</v>
      </c>
      <c r="E125" s="23" t="s">
        <v>109</v>
      </c>
      <c r="F125" s="24" t="s">
        <v>455</v>
      </c>
      <c r="G125" s="25">
        <v>4800</v>
      </c>
      <c r="H125" s="25">
        <f t="shared" si="1"/>
        <v>2400</v>
      </c>
      <c r="I125" s="30"/>
      <c r="J125" s="20" t="s">
        <v>497</v>
      </c>
      <c r="K125" s="29" t="s">
        <v>439</v>
      </c>
      <c r="L125" s="30">
        <v>2021</v>
      </c>
    </row>
    <row r="126" spans="1:12" ht="12" customHeight="1">
      <c r="A126" s="21">
        <v>61090404</v>
      </c>
      <c r="B126" s="21">
        <v>9789504658740</v>
      </c>
      <c r="C126" s="21" t="s">
        <v>8</v>
      </c>
      <c r="D126" s="22" t="s">
        <v>452</v>
      </c>
      <c r="E126" s="23" t="s">
        <v>109</v>
      </c>
      <c r="F126" s="24" t="s">
        <v>455</v>
      </c>
      <c r="G126" s="25">
        <v>4800</v>
      </c>
      <c r="H126" s="25">
        <f t="shared" si="1"/>
        <v>2400</v>
      </c>
      <c r="I126" s="30"/>
      <c r="J126" s="20" t="s">
        <v>497</v>
      </c>
      <c r="K126" s="29" t="s">
        <v>439</v>
      </c>
      <c r="L126" s="30">
        <v>2021</v>
      </c>
    </row>
    <row r="127" spans="1:12" ht="12" customHeight="1">
      <c r="A127" s="45">
        <v>61070094</v>
      </c>
      <c r="B127" s="44">
        <v>9789504644507</v>
      </c>
      <c r="C127" s="44" t="s">
        <v>8</v>
      </c>
      <c r="D127" s="45" t="s">
        <v>509</v>
      </c>
      <c r="E127" s="45" t="s">
        <v>510</v>
      </c>
      <c r="F127" s="45" t="s">
        <v>461</v>
      </c>
      <c r="G127" s="26">
        <v>2200</v>
      </c>
      <c r="H127" s="26">
        <f t="shared" si="1"/>
        <v>1100</v>
      </c>
      <c r="I127" s="56"/>
      <c r="J127" s="46"/>
      <c r="K127" s="16" t="str">
        <f>HYPERLINK("https://www.loqueleo.com/ar/libro/de-carta-en-carta","VER")</f>
        <v>VER</v>
      </c>
      <c r="L127" s="56">
        <v>2016</v>
      </c>
    </row>
    <row r="128" spans="1:12" ht="12" customHeight="1">
      <c r="A128" s="45">
        <v>61070147</v>
      </c>
      <c r="B128" s="44">
        <v>9789504646457</v>
      </c>
      <c r="C128" s="44" t="s">
        <v>8</v>
      </c>
      <c r="D128" s="45" t="s">
        <v>120</v>
      </c>
      <c r="E128" s="45" t="s">
        <v>121</v>
      </c>
      <c r="F128" s="45" t="s">
        <v>26</v>
      </c>
      <c r="G128" s="26">
        <v>3100</v>
      </c>
      <c r="H128" s="26">
        <f t="shared" si="1"/>
        <v>1550</v>
      </c>
      <c r="I128" s="56"/>
      <c r="J128" s="46"/>
      <c r="K128" s="16" t="str">
        <f>HYPERLINK("https://www.loqueleo.com/ar/libro/decir-amigo","VER")</f>
        <v>VER</v>
      </c>
      <c r="L128" s="56">
        <v>2016</v>
      </c>
    </row>
    <row r="129" spans="1:12" s="28" customFormat="1" ht="12" customHeight="1">
      <c r="A129" s="45">
        <v>61068397</v>
      </c>
      <c r="B129" s="44">
        <v>9789504644774</v>
      </c>
      <c r="C129" s="44" t="s">
        <v>8</v>
      </c>
      <c r="D129" s="45" t="s">
        <v>122</v>
      </c>
      <c r="E129" s="45" t="s">
        <v>19</v>
      </c>
      <c r="F129" s="45" t="s">
        <v>462</v>
      </c>
      <c r="G129" s="26">
        <v>2400</v>
      </c>
      <c r="H129" s="26">
        <f t="shared" si="1"/>
        <v>1200</v>
      </c>
      <c r="I129" s="56"/>
      <c r="J129" s="46"/>
      <c r="K129" s="16" t="str">
        <f>HYPERLINK("https://www.loqueleo.com/ar/libro/el-dedo-magico","VER")</f>
        <v>VER</v>
      </c>
      <c r="L129" s="56">
        <v>2015</v>
      </c>
    </row>
    <row r="130" spans="1:12" ht="12" customHeight="1">
      <c r="A130" s="45">
        <v>61069208</v>
      </c>
      <c r="B130" s="44">
        <v>9789504643043</v>
      </c>
      <c r="C130" s="44" t="s">
        <v>8</v>
      </c>
      <c r="D130" s="45" t="s">
        <v>123</v>
      </c>
      <c r="E130" s="45" t="s">
        <v>96</v>
      </c>
      <c r="F130" s="45" t="s">
        <v>459</v>
      </c>
      <c r="G130" s="26">
        <v>2600</v>
      </c>
      <c r="H130" s="26">
        <f t="shared" si="1"/>
        <v>1300</v>
      </c>
      <c r="I130" s="56"/>
      <c r="J130" s="46" t="s">
        <v>348</v>
      </c>
      <c r="K130" s="16" t="str">
        <f>HYPERLINK("https://www.loqueleo.com/ar/libro/del-otro-lado-del-mundo","VER")</f>
        <v>VER</v>
      </c>
      <c r="L130" s="56">
        <v>2016</v>
      </c>
    </row>
    <row r="131" spans="1:12" ht="12" customHeight="1">
      <c r="A131" s="45">
        <v>61070150</v>
      </c>
      <c r="B131" s="44">
        <v>9789504646136</v>
      </c>
      <c r="C131" s="44" t="s">
        <v>8</v>
      </c>
      <c r="D131" s="45" t="s">
        <v>511</v>
      </c>
      <c r="E131" s="45" t="s">
        <v>56</v>
      </c>
      <c r="F131" s="45" t="s">
        <v>26</v>
      </c>
      <c r="G131" s="26">
        <v>3100</v>
      </c>
      <c r="H131" s="26">
        <f t="shared" si="1"/>
        <v>1550</v>
      </c>
      <c r="I131" s="56"/>
      <c r="J131" s="46"/>
      <c r="K131" s="16" t="str">
        <f>HYPERLINK("https://www.loqueleo.com/ar/libro/desde-el-ojo-del-pez","VER")</f>
        <v>VER</v>
      </c>
      <c r="L131" s="56">
        <v>2016</v>
      </c>
    </row>
    <row r="132" spans="1:12" ht="12" customHeight="1">
      <c r="A132" s="45">
        <v>61071741</v>
      </c>
      <c r="B132" s="44">
        <v>9789504648543</v>
      </c>
      <c r="C132" s="44" t="s">
        <v>8</v>
      </c>
      <c r="D132" s="45" t="s">
        <v>124</v>
      </c>
      <c r="E132" s="45" t="s">
        <v>12</v>
      </c>
      <c r="F132" s="45" t="s">
        <v>460</v>
      </c>
      <c r="G132" s="26">
        <v>2990</v>
      </c>
      <c r="H132" s="26">
        <f t="shared" si="1"/>
        <v>1495</v>
      </c>
      <c r="I132" s="56"/>
      <c r="J132" s="46"/>
      <c r="K132" s="16" t="str">
        <f>HYPERLINK("https://www.loqueleo.com/ar/libro/los-desmaravilladores","VER")</f>
        <v>VER</v>
      </c>
      <c r="L132" s="56">
        <v>2017</v>
      </c>
    </row>
    <row r="133" spans="1:12" ht="12" customHeight="1">
      <c r="A133" s="21">
        <v>61093891</v>
      </c>
      <c r="B133" s="21">
        <v>9789504662075</v>
      </c>
      <c r="C133" s="21" t="s">
        <v>8</v>
      </c>
      <c r="D133" s="22" t="s">
        <v>448</v>
      </c>
      <c r="E133" s="23" t="s">
        <v>222</v>
      </c>
      <c r="F133" s="24" t="s">
        <v>26</v>
      </c>
      <c r="G133" s="25">
        <v>3100</v>
      </c>
      <c r="H133" s="25">
        <f t="shared" si="1"/>
        <v>1550</v>
      </c>
      <c r="I133" s="30"/>
      <c r="J133" s="20" t="s">
        <v>497</v>
      </c>
      <c r="K133" s="29" t="s">
        <v>439</v>
      </c>
      <c r="L133" s="30">
        <v>2021</v>
      </c>
    </row>
    <row r="134" spans="1:12" ht="12" customHeight="1">
      <c r="A134" s="45">
        <v>61069227</v>
      </c>
      <c r="B134" s="44">
        <v>9789504643104</v>
      </c>
      <c r="C134" s="44" t="s">
        <v>8</v>
      </c>
      <c r="D134" s="45" t="s">
        <v>125</v>
      </c>
      <c r="E134" s="45" t="s">
        <v>52</v>
      </c>
      <c r="F134" s="45" t="s">
        <v>459</v>
      </c>
      <c r="G134" s="26">
        <v>2600</v>
      </c>
      <c r="H134" s="26">
        <f t="shared" si="1"/>
        <v>1300</v>
      </c>
      <c r="I134" s="56"/>
      <c r="J134" s="46"/>
      <c r="K134" s="16" t="str">
        <f>HYPERLINK("https://www.loqueleo.com/ar/libro/desplumado","VER")</f>
        <v>VER</v>
      </c>
      <c r="L134" s="56">
        <v>2015</v>
      </c>
    </row>
    <row r="135" spans="1:12" s="6" customFormat="1" ht="12" customHeight="1">
      <c r="A135" s="45">
        <v>61071732</v>
      </c>
      <c r="B135" s="44">
        <v>9789504648536</v>
      </c>
      <c r="C135" s="44" t="s">
        <v>8</v>
      </c>
      <c r="D135" s="45" t="s">
        <v>126</v>
      </c>
      <c r="E135" s="45" t="s">
        <v>127</v>
      </c>
      <c r="F135" s="45" t="s">
        <v>460</v>
      </c>
      <c r="G135" s="26">
        <v>2990</v>
      </c>
      <c r="H135" s="26">
        <f t="shared" si="1"/>
        <v>1495</v>
      </c>
      <c r="I135" s="56"/>
      <c r="J135" s="46"/>
      <c r="K135" s="16" t="str">
        <f>HYPERLINK("https://www.loqueleo.com/ar/libro/detectives-en-bariloche","VER")</f>
        <v>VER</v>
      </c>
      <c r="L135" s="56">
        <v>2016</v>
      </c>
    </row>
    <row r="136" spans="1:12" ht="12" customHeight="1">
      <c r="A136" s="45">
        <v>61071746</v>
      </c>
      <c r="B136" s="44">
        <v>9789504648550</v>
      </c>
      <c r="C136" s="44" t="s">
        <v>8</v>
      </c>
      <c r="D136" s="45" t="s">
        <v>512</v>
      </c>
      <c r="E136" s="45" t="s">
        <v>127</v>
      </c>
      <c r="F136" s="45" t="s">
        <v>460</v>
      </c>
      <c r="G136" s="26">
        <v>2990</v>
      </c>
      <c r="H136" s="26">
        <f t="shared" si="1"/>
        <v>1495</v>
      </c>
      <c r="I136" s="56"/>
      <c r="J136" s="46"/>
      <c r="K136" s="16" t="str">
        <f>HYPERLINK("https://www.loqueleo.com/ar/libro/detectives-en-cordoba","VER")</f>
        <v>VER</v>
      </c>
      <c r="L136" s="56">
        <v>2017</v>
      </c>
    </row>
    <row r="137" spans="1:12" s="28" customFormat="1" ht="12" customHeight="1">
      <c r="A137" s="45">
        <v>61071731</v>
      </c>
      <c r="B137" s="44">
        <v>9789504648567</v>
      </c>
      <c r="C137" s="44" t="s">
        <v>8</v>
      </c>
      <c r="D137" s="45" t="s">
        <v>128</v>
      </c>
      <c r="E137" s="45" t="s">
        <v>127</v>
      </c>
      <c r="F137" s="45" t="s">
        <v>460</v>
      </c>
      <c r="G137" s="26">
        <v>2990</v>
      </c>
      <c r="H137" s="26">
        <f aca="true" t="shared" si="2" ref="H137:H200">+G137/2</f>
        <v>1495</v>
      </c>
      <c r="I137" s="56"/>
      <c r="J137" s="46"/>
      <c r="K137" s="16" t="str">
        <f>HYPERLINK("https://www.loqueleo.com/ar/libro/detectives-en-mar-del-plata","VER")</f>
        <v>VER</v>
      </c>
      <c r="L137" s="56">
        <v>2016</v>
      </c>
    </row>
    <row r="138" spans="1:12" ht="12" customHeight="1">
      <c r="A138" s="45">
        <v>61071743</v>
      </c>
      <c r="B138" s="44">
        <v>9789504648574</v>
      </c>
      <c r="C138" s="44" t="s">
        <v>8</v>
      </c>
      <c r="D138" s="45" t="s">
        <v>129</v>
      </c>
      <c r="E138" s="45" t="s">
        <v>127</v>
      </c>
      <c r="F138" s="45" t="s">
        <v>460</v>
      </c>
      <c r="G138" s="26">
        <v>2990</v>
      </c>
      <c r="H138" s="26">
        <f t="shared" si="2"/>
        <v>1495</v>
      </c>
      <c r="I138" s="56"/>
      <c r="J138" s="46"/>
      <c r="K138" s="16" t="str">
        <f>HYPERLINK("https://www.loqueleo.com/ar/libro/detectives-en-palermo-viejo","VER")</f>
        <v>VER</v>
      </c>
      <c r="L138" s="56">
        <v>2016</v>
      </c>
    </row>
    <row r="139" spans="1:12" ht="12" customHeight="1">
      <c r="A139" s="45">
        <v>61071744</v>
      </c>
      <c r="B139" s="44">
        <v>9789504648581</v>
      </c>
      <c r="C139" s="44" t="s">
        <v>8</v>
      </c>
      <c r="D139" s="45" t="s">
        <v>513</v>
      </c>
      <c r="E139" s="45" t="s">
        <v>127</v>
      </c>
      <c r="F139" s="45" t="s">
        <v>460</v>
      </c>
      <c r="G139" s="26">
        <v>2990</v>
      </c>
      <c r="H139" s="26">
        <f t="shared" si="2"/>
        <v>1495</v>
      </c>
      <c r="I139" s="56"/>
      <c r="J139" s="46"/>
      <c r="K139" s="16" t="str">
        <f>HYPERLINK("https://www.loqueleo.com/ar/libro/detectives-en-recoleta","VER")</f>
        <v>VER</v>
      </c>
      <c r="L139" s="56">
        <v>2017</v>
      </c>
    </row>
    <row r="140" spans="1:12" s="7" customFormat="1" ht="12" customHeight="1">
      <c r="A140" s="45">
        <v>61069974</v>
      </c>
      <c r="B140" s="44">
        <v>9789504646556</v>
      </c>
      <c r="C140" s="44" t="s">
        <v>8</v>
      </c>
      <c r="D140" s="45" t="s">
        <v>130</v>
      </c>
      <c r="E140" s="45" t="s">
        <v>131</v>
      </c>
      <c r="F140" s="45" t="s">
        <v>459</v>
      </c>
      <c r="G140" s="26">
        <v>2600</v>
      </c>
      <c r="H140" s="26">
        <f t="shared" si="2"/>
        <v>1300</v>
      </c>
      <c r="I140" s="56"/>
      <c r="J140" s="46"/>
      <c r="K140" s="16" t="str">
        <f>HYPERLINK("https://www.loqueleo.com/ar/libro/el-dia-en-que-los-animales-quisieron-comer-otra-cosa","VER")</f>
        <v>VER</v>
      </c>
      <c r="L140" s="56">
        <v>2016</v>
      </c>
    </row>
    <row r="141" spans="1:12" ht="12" customHeight="1">
      <c r="A141" s="45">
        <v>61068574</v>
      </c>
      <c r="B141" s="44">
        <v>9789504644378</v>
      </c>
      <c r="C141" s="44" t="s">
        <v>8</v>
      </c>
      <c r="D141" s="45" t="s">
        <v>132</v>
      </c>
      <c r="E141" s="45" t="s">
        <v>12</v>
      </c>
      <c r="F141" s="45" t="s">
        <v>465</v>
      </c>
      <c r="G141" s="26">
        <v>2990</v>
      </c>
      <c r="H141" s="26">
        <f t="shared" si="2"/>
        <v>1495</v>
      </c>
      <c r="I141" s="56"/>
      <c r="J141" s="46"/>
      <c r="K141" s="16" t="str">
        <f>HYPERLINK("https://www.loqueleo.com/ar/libro/un-dia-una-brujula","VER")</f>
        <v>VER</v>
      </c>
      <c r="L141" s="56">
        <v>2016</v>
      </c>
    </row>
    <row r="142" spans="1:12" ht="12" customHeight="1">
      <c r="A142" s="45">
        <v>61071845</v>
      </c>
      <c r="B142" s="44">
        <v>9789504648208</v>
      </c>
      <c r="C142" s="44" t="s">
        <v>8</v>
      </c>
      <c r="D142" s="45" t="s">
        <v>133</v>
      </c>
      <c r="E142" s="45" t="s">
        <v>134</v>
      </c>
      <c r="F142" s="45" t="s">
        <v>26</v>
      </c>
      <c r="G142" s="26">
        <v>2890</v>
      </c>
      <c r="H142" s="26">
        <f t="shared" si="2"/>
        <v>1445</v>
      </c>
      <c r="I142" s="56"/>
      <c r="J142" s="46"/>
      <c r="K142" s="16" t="str">
        <f>HYPERLINK("https://www.loqueleo.com/ar/libro/el-diablo-en-la-botella","VER")</f>
        <v>VER</v>
      </c>
      <c r="L142" s="56">
        <v>2017</v>
      </c>
    </row>
    <row r="143" spans="1:12" ht="12" customHeight="1">
      <c r="A143" s="45">
        <v>61070021</v>
      </c>
      <c r="B143" s="44">
        <v>9789504646037</v>
      </c>
      <c r="C143" s="44" t="s">
        <v>8</v>
      </c>
      <c r="D143" s="45" t="s">
        <v>135</v>
      </c>
      <c r="E143" s="45" t="s">
        <v>86</v>
      </c>
      <c r="F143" s="45" t="s">
        <v>460</v>
      </c>
      <c r="G143" s="26">
        <v>2990</v>
      </c>
      <c r="H143" s="26">
        <f t="shared" si="2"/>
        <v>1495</v>
      </c>
      <c r="I143" s="56"/>
      <c r="J143" s="46"/>
      <c r="K143" s="16" t="str">
        <f>HYPERLINK("https://www.loqueleo.com/ar/libro/diario-de-un-amor-a-destiempo","VER")</f>
        <v>VER</v>
      </c>
      <c r="L143" s="56">
        <v>2016</v>
      </c>
    </row>
    <row r="144" spans="1:12" ht="12" customHeight="1">
      <c r="A144" s="45">
        <v>61070038</v>
      </c>
      <c r="B144" s="44">
        <v>9789504646150</v>
      </c>
      <c r="C144" s="44" t="s">
        <v>8</v>
      </c>
      <c r="D144" s="45" t="s">
        <v>136</v>
      </c>
      <c r="E144" s="45" t="s">
        <v>86</v>
      </c>
      <c r="F144" s="45" t="s">
        <v>460</v>
      </c>
      <c r="G144" s="26">
        <v>2990</v>
      </c>
      <c r="H144" s="26">
        <f t="shared" si="2"/>
        <v>1495</v>
      </c>
      <c r="I144" s="56"/>
      <c r="J144" s="46"/>
      <c r="K144" s="16" t="str">
        <f>HYPERLINK("https://www.loqueleo.com/ar/libro/diario-de-un-viaje-imposible","VER")</f>
        <v>VER</v>
      </c>
      <c r="L144" s="56">
        <v>2016</v>
      </c>
    </row>
    <row r="145" spans="1:12" ht="12" customHeight="1">
      <c r="A145" s="45">
        <v>61069291</v>
      </c>
      <c r="B145" s="44">
        <v>9789504643241</v>
      </c>
      <c r="C145" s="44" t="s">
        <v>8</v>
      </c>
      <c r="D145" s="45" t="s">
        <v>137</v>
      </c>
      <c r="E145" s="45" t="s">
        <v>118</v>
      </c>
      <c r="F145" s="45" t="s">
        <v>461</v>
      </c>
      <c r="G145" s="26">
        <v>2400</v>
      </c>
      <c r="H145" s="26">
        <f t="shared" si="2"/>
        <v>1200</v>
      </c>
      <c r="I145" s="56"/>
      <c r="J145" s="46"/>
      <c r="K145" s="16" t="str">
        <f>HYPERLINK("https://www.loqueleo.com/ar/libro/diminuto-contra-los-fantasmas","VER")</f>
        <v>VER</v>
      </c>
      <c r="L145" s="56">
        <v>2016</v>
      </c>
    </row>
    <row r="146" spans="1:12" ht="12" customHeight="1">
      <c r="A146" s="45">
        <v>61070504</v>
      </c>
      <c r="B146" s="44">
        <v>9789504649076</v>
      </c>
      <c r="C146" s="44" t="s">
        <v>8</v>
      </c>
      <c r="D146" s="45" t="s">
        <v>138</v>
      </c>
      <c r="E146" s="45" t="s">
        <v>118</v>
      </c>
      <c r="F146" s="45" t="s">
        <v>461</v>
      </c>
      <c r="G146" s="26">
        <v>2400</v>
      </c>
      <c r="H146" s="26">
        <f t="shared" si="2"/>
        <v>1200</v>
      </c>
      <c r="I146" s="56"/>
      <c r="J146" s="46"/>
      <c r="K146" s="16" t="str">
        <f>HYPERLINK("https://www.loqueleo.com/ar/libro/diminuto-y-el-campamento-zombi","VER")</f>
        <v>VER</v>
      </c>
      <c r="L146" s="56">
        <v>2016</v>
      </c>
    </row>
    <row r="147" spans="1:12" ht="12" customHeight="1">
      <c r="A147" s="45">
        <v>61070055</v>
      </c>
      <c r="B147" s="44">
        <v>9789504644446</v>
      </c>
      <c r="C147" s="44" t="s">
        <v>8</v>
      </c>
      <c r="D147" s="45" t="s">
        <v>139</v>
      </c>
      <c r="E147" s="45" t="s">
        <v>118</v>
      </c>
      <c r="F147" s="45" t="s">
        <v>461</v>
      </c>
      <c r="G147" s="26">
        <v>2400</v>
      </c>
      <c r="H147" s="26">
        <f t="shared" si="2"/>
        <v>1200</v>
      </c>
      <c r="I147" s="56"/>
      <c r="J147" s="46"/>
      <c r="K147" s="16" t="str">
        <f>HYPERLINK("https://www.loqueleo.com/ar/libro/diminuto-y-el-gol-de-oro","VER")</f>
        <v>VER</v>
      </c>
      <c r="L147" s="56">
        <v>2016</v>
      </c>
    </row>
    <row r="148" spans="1:12" ht="12" customHeight="1">
      <c r="A148" s="45">
        <v>61070033</v>
      </c>
      <c r="B148" s="44">
        <v>9789504644408</v>
      </c>
      <c r="C148" s="44" t="s">
        <v>8</v>
      </c>
      <c r="D148" s="45" t="s">
        <v>140</v>
      </c>
      <c r="E148" s="45" t="s">
        <v>118</v>
      </c>
      <c r="F148" s="45" t="s">
        <v>461</v>
      </c>
      <c r="G148" s="26">
        <v>2400</v>
      </c>
      <c r="H148" s="26">
        <f t="shared" si="2"/>
        <v>1200</v>
      </c>
      <c r="I148" s="56"/>
      <c r="J148" s="46"/>
      <c r="K148" s="16" t="str">
        <f>HYPERLINK("https://www.loqueleo.com/ar/libro/diminuto-y-el-monstruo-subterraneo","VER")</f>
        <v>VER</v>
      </c>
      <c r="L148" s="56">
        <v>2017</v>
      </c>
    </row>
    <row r="149" spans="1:12" ht="12" customHeight="1">
      <c r="A149" s="45">
        <v>61069256</v>
      </c>
      <c r="B149" s="44">
        <v>9789504643593</v>
      </c>
      <c r="C149" s="44" t="s">
        <v>8</v>
      </c>
      <c r="D149" s="45" t="s">
        <v>141</v>
      </c>
      <c r="E149" s="45" t="s">
        <v>86</v>
      </c>
      <c r="F149" s="45" t="s">
        <v>462</v>
      </c>
      <c r="G149" s="26">
        <v>2990</v>
      </c>
      <c r="H149" s="26">
        <f t="shared" si="2"/>
        <v>1495</v>
      </c>
      <c r="I149" s="56"/>
      <c r="J149" s="46"/>
      <c r="K149" s="16" t="str">
        <f>HYPERLINK("https://www.loqueleo.com/ar/libro/dioses-y-heroes-de-la-mitologia-griega","VER")</f>
        <v>VER</v>
      </c>
      <c r="L149" s="56">
        <v>2016</v>
      </c>
    </row>
    <row r="150" spans="1:12" ht="12" customHeight="1">
      <c r="A150" s="45">
        <v>61069277</v>
      </c>
      <c r="B150" s="44">
        <v>9789504643197</v>
      </c>
      <c r="C150" s="44" t="s">
        <v>8</v>
      </c>
      <c r="D150" s="45" t="s">
        <v>514</v>
      </c>
      <c r="E150" s="45" t="s">
        <v>12</v>
      </c>
      <c r="F150" s="45" t="s">
        <v>461</v>
      </c>
      <c r="G150" s="26">
        <v>2200</v>
      </c>
      <c r="H150" s="26">
        <f t="shared" si="2"/>
        <v>1100</v>
      </c>
      <c r="I150" s="56"/>
      <c r="J150" s="46" t="s">
        <v>348</v>
      </c>
      <c r="K150" s="16" t="str">
        <f>HYPERLINK("https://www.loqueleo.com/ar/libro/disparatario","VER")</f>
        <v>VER</v>
      </c>
      <c r="L150" s="56">
        <v>2016</v>
      </c>
    </row>
    <row r="151" spans="1:12" ht="12" customHeight="1">
      <c r="A151" s="45">
        <v>61071735</v>
      </c>
      <c r="B151" s="44">
        <v>9789504648024</v>
      </c>
      <c r="C151" s="44" t="s">
        <v>8</v>
      </c>
      <c r="D151" s="45" t="s">
        <v>142</v>
      </c>
      <c r="E151" s="45" t="s">
        <v>143</v>
      </c>
      <c r="F151" s="45" t="s">
        <v>464</v>
      </c>
      <c r="G151" s="26">
        <v>2600</v>
      </c>
      <c r="H151" s="26">
        <f t="shared" si="2"/>
        <v>1300</v>
      </c>
      <c r="I151" s="56"/>
      <c r="J151" s="46"/>
      <c r="K151" s="16" t="str">
        <f>HYPERLINK("https://www.loqueleo.com/ar/libro/disparates","VER")</f>
        <v>VER</v>
      </c>
      <c r="L151" s="56">
        <v>2017</v>
      </c>
    </row>
    <row r="152" spans="1:12" ht="12" customHeight="1">
      <c r="A152" s="45">
        <v>61069236</v>
      </c>
      <c r="B152" s="44">
        <v>9789504643555</v>
      </c>
      <c r="C152" s="44" t="s">
        <v>8</v>
      </c>
      <c r="D152" s="45" t="s">
        <v>144</v>
      </c>
      <c r="E152" s="45" t="s">
        <v>60</v>
      </c>
      <c r="F152" s="45" t="s">
        <v>462</v>
      </c>
      <c r="G152" s="26">
        <v>2990</v>
      </c>
      <c r="H152" s="26">
        <f t="shared" si="2"/>
        <v>1495</v>
      </c>
      <c r="I152" s="56"/>
      <c r="J152" s="46"/>
      <c r="K152" s="16" t="str">
        <f>HYPERLINK("https://www.loqueleo.com/ar/libro/don-perro-de-mendoza","VER")</f>
        <v>VER</v>
      </c>
      <c r="L152" s="56">
        <v>2016</v>
      </c>
    </row>
    <row r="153" spans="1:12" ht="12" customHeight="1">
      <c r="A153" s="45">
        <v>61071775</v>
      </c>
      <c r="B153" s="44">
        <v>9789504648055</v>
      </c>
      <c r="C153" s="44" t="s">
        <v>8</v>
      </c>
      <c r="D153" s="45" t="s">
        <v>145</v>
      </c>
      <c r="E153" s="45" t="s">
        <v>146</v>
      </c>
      <c r="F153" s="45" t="s">
        <v>464</v>
      </c>
      <c r="G153" s="26">
        <v>2600</v>
      </c>
      <c r="H153" s="26">
        <f t="shared" si="2"/>
        <v>1300</v>
      </c>
      <c r="I153" s="56"/>
      <c r="J153" s="46"/>
      <c r="K153" s="16" t="s">
        <v>439</v>
      </c>
      <c r="L153" s="56">
        <v>2016</v>
      </c>
    </row>
    <row r="154" spans="1:12" s="7" customFormat="1" ht="12" customHeight="1">
      <c r="A154" s="21">
        <v>61097920</v>
      </c>
      <c r="B154" s="21">
        <v>9789504666271</v>
      </c>
      <c r="C154" s="21" t="s">
        <v>8</v>
      </c>
      <c r="D154" s="22" t="s">
        <v>458</v>
      </c>
      <c r="E154" s="23" t="s">
        <v>109</v>
      </c>
      <c r="F154" s="24" t="s">
        <v>462</v>
      </c>
      <c r="G154" s="25">
        <v>2400</v>
      </c>
      <c r="H154" s="25">
        <f t="shared" si="2"/>
        <v>1200</v>
      </c>
      <c r="I154" s="30"/>
      <c r="J154" s="20" t="s">
        <v>497</v>
      </c>
      <c r="K154" s="52" t="s">
        <v>439</v>
      </c>
      <c r="L154" s="30">
        <v>2021</v>
      </c>
    </row>
    <row r="155" spans="1:12" ht="12" customHeight="1">
      <c r="A155" s="45">
        <v>61086739</v>
      </c>
      <c r="B155" s="44">
        <v>9789504658375</v>
      </c>
      <c r="C155" s="44" t="s">
        <v>8</v>
      </c>
      <c r="D155" s="45" t="s">
        <v>412</v>
      </c>
      <c r="E155" s="45" t="s">
        <v>131</v>
      </c>
      <c r="F155" s="45" t="s">
        <v>462</v>
      </c>
      <c r="G155" s="26">
        <v>2990</v>
      </c>
      <c r="H155" s="26">
        <f t="shared" si="2"/>
        <v>1495</v>
      </c>
      <c r="I155" s="56"/>
      <c r="J155" s="46"/>
      <c r="K155" s="16" t="str">
        <f>HYPERLINK("https://www.loqueleo.com/ar/libro/donovan","VER")</f>
        <v>VER</v>
      </c>
      <c r="L155" s="56">
        <v>2019</v>
      </c>
    </row>
    <row r="156" spans="1:12" ht="12" customHeight="1">
      <c r="A156" s="45">
        <v>61069216</v>
      </c>
      <c r="B156" s="44">
        <v>9789504643722</v>
      </c>
      <c r="C156" s="44" t="s">
        <v>8</v>
      </c>
      <c r="D156" s="45" t="s">
        <v>147</v>
      </c>
      <c r="E156" s="45" t="s">
        <v>16</v>
      </c>
      <c r="F156" s="45" t="s">
        <v>460</v>
      </c>
      <c r="G156" s="26">
        <v>2990</v>
      </c>
      <c r="H156" s="26">
        <f t="shared" si="2"/>
        <v>1495</v>
      </c>
      <c r="I156" s="56"/>
      <c r="J156" s="46"/>
      <c r="K156" s="16" t="str">
        <f>HYPERLINK("https://www.loqueleo.com/ar/libro/los-dos-gimenez","VER")</f>
        <v>VER</v>
      </c>
      <c r="L156" s="56">
        <v>2016</v>
      </c>
    </row>
    <row r="157" spans="1:12" ht="12" customHeight="1">
      <c r="A157" s="45">
        <v>61071740</v>
      </c>
      <c r="B157" s="44">
        <v>9789504648635</v>
      </c>
      <c r="C157" s="44" t="s">
        <v>8</v>
      </c>
      <c r="D157" s="45" t="s">
        <v>148</v>
      </c>
      <c r="E157" s="45" t="s">
        <v>71</v>
      </c>
      <c r="F157" s="45" t="s">
        <v>460</v>
      </c>
      <c r="G157" s="26">
        <v>2990</v>
      </c>
      <c r="H157" s="26">
        <f t="shared" si="2"/>
        <v>1495</v>
      </c>
      <c r="I157" s="56"/>
      <c r="J157" s="46"/>
      <c r="K157" s="16" t="str">
        <f>HYPERLINK("https://www.loqueleo.com/ar/libro/las-dos-marias","VER")</f>
        <v>VER</v>
      </c>
      <c r="L157" s="56">
        <v>2016</v>
      </c>
    </row>
    <row r="158" spans="1:12" ht="12" customHeight="1">
      <c r="A158" s="45">
        <v>61071805</v>
      </c>
      <c r="B158" s="44">
        <v>9789504648079</v>
      </c>
      <c r="C158" s="44" t="s">
        <v>8</v>
      </c>
      <c r="D158" s="45" t="s">
        <v>149</v>
      </c>
      <c r="E158" s="45" t="s">
        <v>150</v>
      </c>
      <c r="F158" s="45" t="s">
        <v>464</v>
      </c>
      <c r="G158" s="26">
        <v>2600</v>
      </c>
      <c r="H158" s="26">
        <f t="shared" si="2"/>
        <v>1300</v>
      </c>
      <c r="I158" s="56"/>
      <c r="J158" s="46" t="s">
        <v>348</v>
      </c>
      <c r="K158" s="16" t="str">
        <f>HYPERLINK("https://www.loqueleo.com/ar/libro/dos-perros-y-una-abuela","VER")</f>
        <v>VER</v>
      </c>
      <c r="L158" s="56">
        <v>2015</v>
      </c>
    </row>
    <row r="159" spans="1:12" ht="12" customHeight="1">
      <c r="A159" s="45">
        <v>61070139</v>
      </c>
      <c r="B159" s="44">
        <v>9789504647256</v>
      </c>
      <c r="C159" s="44" t="s">
        <v>8</v>
      </c>
      <c r="D159" s="45" t="s">
        <v>416</v>
      </c>
      <c r="E159" s="45" t="s">
        <v>50</v>
      </c>
      <c r="F159" s="45" t="s">
        <v>26</v>
      </c>
      <c r="G159" s="26">
        <v>3100</v>
      </c>
      <c r="H159" s="26">
        <f t="shared" si="2"/>
        <v>1550</v>
      </c>
      <c r="I159" s="56"/>
      <c r="J159" s="46"/>
      <c r="K159" s="16" t="str">
        <f>HYPERLINK("https://www.loqueleo.com/ar/libro/la-duna-helada","VER")</f>
        <v>VER</v>
      </c>
      <c r="L159" s="56">
        <v>2015</v>
      </c>
    </row>
    <row r="160" spans="1:12" s="7" customFormat="1" ht="12" customHeight="1">
      <c r="A160" s="45">
        <v>61069278</v>
      </c>
      <c r="B160" s="44">
        <v>9789504643654</v>
      </c>
      <c r="C160" s="44" t="s">
        <v>8</v>
      </c>
      <c r="D160" s="45" t="s">
        <v>151</v>
      </c>
      <c r="E160" s="45" t="s">
        <v>12</v>
      </c>
      <c r="F160" s="45" t="s">
        <v>460</v>
      </c>
      <c r="G160" s="26">
        <v>2990</v>
      </c>
      <c r="H160" s="26">
        <f t="shared" si="2"/>
        <v>1495</v>
      </c>
      <c r="I160" s="56"/>
      <c r="J160" s="46"/>
      <c r="K160" s="16" t="str">
        <f>HYPERLINK("https://www.loqueleo.com/ar/libro/la-edad-del-pavo","VER")</f>
        <v>VER</v>
      </c>
      <c r="L160" s="56">
        <v>2016</v>
      </c>
    </row>
    <row r="161" spans="1:12" ht="12" customHeight="1">
      <c r="A161" s="45">
        <v>61090357</v>
      </c>
      <c r="B161" s="44">
        <v>9789504659181</v>
      </c>
      <c r="C161" s="44" t="s">
        <v>8</v>
      </c>
      <c r="D161" s="45" t="s">
        <v>428</v>
      </c>
      <c r="E161" s="45" t="s">
        <v>14</v>
      </c>
      <c r="F161" s="45" t="s">
        <v>461</v>
      </c>
      <c r="G161" s="26">
        <v>2400</v>
      </c>
      <c r="H161" s="26">
        <f t="shared" si="2"/>
        <v>1200</v>
      </c>
      <c r="I161" s="56"/>
      <c r="J161" s="46"/>
      <c r="K161" s="16" t="str">
        <f>HYPERLINK("https://www.loqueleo.com/ar/libro/el-arbol-de-los-ruidos-y-las-nueces","VER")</f>
        <v>VER</v>
      </c>
      <c r="L161" s="56">
        <v>2020</v>
      </c>
    </row>
    <row r="162" spans="1:12" s="28" customFormat="1" ht="12" customHeight="1">
      <c r="A162" s="21">
        <v>61101637</v>
      </c>
      <c r="B162" s="21">
        <v>9789504671176</v>
      </c>
      <c r="C162" s="21" t="s">
        <v>8</v>
      </c>
      <c r="D162" s="22" t="s">
        <v>515</v>
      </c>
      <c r="E162" s="23" t="s">
        <v>66</v>
      </c>
      <c r="F162" s="24" t="s">
        <v>460</v>
      </c>
      <c r="G162" s="25">
        <v>2990</v>
      </c>
      <c r="H162" s="25">
        <f t="shared" si="2"/>
        <v>1495</v>
      </c>
      <c r="I162" s="30"/>
      <c r="J162" s="47" t="s">
        <v>508</v>
      </c>
      <c r="K162" s="52" t="s">
        <v>439</v>
      </c>
      <c r="L162" s="30">
        <v>2023</v>
      </c>
    </row>
    <row r="163" spans="1:12" ht="12" customHeight="1">
      <c r="A163" s="21">
        <v>61092732</v>
      </c>
      <c r="B163" s="21">
        <v>9789504663812</v>
      </c>
      <c r="C163" s="21" t="s">
        <v>8</v>
      </c>
      <c r="D163" s="22" t="s">
        <v>456</v>
      </c>
      <c r="E163" s="23" t="s">
        <v>12</v>
      </c>
      <c r="F163" s="24" t="s">
        <v>465</v>
      </c>
      <c r="G163" s="25">
        <v>2990</v>
      </c>
      <c r="H163" s="25">
        <f t="shared" si="2"/>
        <v>1495</v>
      </c>
      <c r="I163" s="30"/>
      <c r="J163" s="20" t="s">
        <v>497</v>
      </c>
      <c r="K163" s="52" t="s">
        <v>439</v>
      </c>
      <c r="L163" s="30">
        <v>2021</v>
      </c>
    </row>
    <row r="164" spans="1:12" ht="12" customHeight="1">
      <c r="A164" s="45">
        <v>61090356</v>
      </c>
      <c r="B164" s="44">
        <v>9789504659167</v>
      </c>
      <c r="C164" s="44" t="s">
        <v>8</v>
      </c>
      <c r="D164" s="45" t="s">
        <v>431</v>
      </c>
      <c r="E164" s="45" t="s">
        <v>86</v>
      </c>
      <c r="F164" s="45" t="s">
        <v>460</v>
      </c>
      <c r="G164" s="26">
        <v>2990</v>
      </c>
      <c r="H164" s="26">
        <f t="shared" si="2"/>
        <v>1495</v>
      </c>
      <c r="I164" s="56"/>
      <c r="J164" s="46"/>
      <c r="K164" s="16" t="str">
        <f>HYPERLINK("https://www.loqueleo.com/ar/libro/el-hombre-que-no-podia-mentir","VER")</f>
        <v>VER</v>
      </c>
      <c r="L164" s="56">
        <v>2020</v>
      </c>
    </row>
    <row r="165" spans="1:12" ht="12" customHeight="1">
      <c r="A165" s="45">
        <v>61071832</v>
      </c>
      <c r="B165" s="44">
        <v>9789504647829</v>
      </c>
      <c r="C165" s="44" t="s">
        <v>8</v>
      </c>
      <c r="D165" s="45" t="s">
        <v>516</v>
      </c>
      <c r="E165" s="45" t="s">
        <v>21</v>
      </c>
      <c r="F165" s="45" t="s">
        <v>465</v>
      </c>
      <c r="G165" s="26">
        <v>2990</v>
      </c>
      <c r="H165" s="26">
        <f t="shared" si="2"/>
        <v>1495</v>
      </c>
      <c r="I165" s="56"/>
      <c r="J165" s="46"/>
      <c r="K165" s="16" t="str">
        <f>HYPERLINK("https://www.loqueleo.com/ar/libro/el-libro-que-canta","VER")</f>
        <v>VER</v>
      </c>
      <c r="L165" s="56">
        <v>2016</v>
      </c>
    </row>
    <row r="166" spans="1:12" ht="12" customHeight="1">
      <c r="A166" s="45">
        <v>61082258</v>
      </c>
      <c r="B166" s="44">
        <v>9789504656180</v>
      </c>
      <c r="C166" s="44" t="s">
        <v>8</v>
      </c>
      <c r="D166" s="45" t="s">
        <v>387</v>
      </c>
      <c r="E166" s="45" t="s">
        <v>30</v>
      </c>
      <c r="F166" s="45" t="s">
        <v>465</v>
      </c>
      <c r="G166" s="26">
        <v>2990</v>
      </c>
      <c r="H166" s="26">
        <f t="shared" si="2"/>
        <v>1495</v>
      </c>
      <c r="I166" s="56"/>
      <c r="J166" s="46"/>
      <c r="K166" s="16" t="str">
        <f>HYPERLINK("https://www.loqueleo.com/ar/libro/el-raton-feroz-vuelve-al-ataque","VER")</f>
        <v>VER</v>
      </c>
      <c r="L166" s="56">
        <v>2018</v>
      </c>
    </row>
    <row r="167" spans="1:12" ht="12" customHeight="1">
      <c r="A167" s="21">
        <v>61101639</v>
      </c>
      <c r="B167" s="21">
        <v>9789504671138</v>
      </c>
      <c r="C167" s="21" t="s">
        <v>8</v>
      </c>
      <c r="D167" s="22" t="s">
        <v>517</v>
      </c>
      <c r="E167" s="23" t="s">
        <v>52</v>
      </c>
      <c r="F167" s="24" t="s">
        <v>464</v>
      </c>
      <c r="G167" s="25">
        <v>2600</v>
      </c>
      <c r="H167" s="25">
        <f t="shared" si="2"/>
        <v>1300</v>
      </c>
      <c r="I167" s="30"/>
      <c r="J167" s="47" t="s">
        <v>508</v>
      </c>
      <c r="K167" s="52" t="s">
        <v>439</v>
      </c>
      <c r="L167" s="30">
        <v>2023</v>
      </c>
    </row>
    <row r="168" spans="1:12" ht="12" customHeight="1">
      <c r="A168" s="45">
        <v>61070093</v>
      </c>
      <c r="B168" s="44">
        <v>9789504645801</v>
      </c>
      <c r="C168" s="44" t="s">
        <v>8</v>
      </c>
      <c r="D168" s="45" t="s">
        <v>152</v>
      </c>
      <c r="E168" s="45" t="s">
        <v>52</v>
      </c>
      <c r="F168" s="45" t="s">
        <v>462</v>
      </c>
      <c r="G168" s="26">
        <v>2990</v>
      </c>
      <c r="H168" s="26">
        <f t="shared" si="2"/>
        <v>1495</v>
      </c>
      <c r="I168" s="56"/>
      <c r="J168" s="46"/>
      <c r="K168" s="16" t="str">
        <f>HYPERLINK("https://www.loqueleo.com/ar/libro/en-el-ultimo-planeta","VER")</f>
        <v>VER</v>
      </c>
      <c r="L168" s="56">
        <v>2015</v>
      </c>
    </row>
    <row r="169" spans="1:12" ht="12" customHeight="1">
      <c r="A169" s="45">
        <v>61069279</v>
      </c>
      <c r="B169" s="44">
        <v>9789504643203</v>
      </c>
      <c r="C169" s="44" t="s">
        <v>8</v>
      </c>
      <c r="D169" s="45" t="s">
        <v>153</v>
      </c>
      <c r="E169" s="45" t="s">
        <v>12</v>
      </c>
      <c r="F169" s="45" t="s">
        <v>461</v>
      </c>
      <c r="G169" s="26">
        <v>2400</v>
      </c>
      <c r="H169" s="26">
        <f t="shared" si="2"/>
        <v>1200</v>
      </c>
      <c r="I169" s="56"/>
      <c r="J169" s="46" t="s">
        <v>348</v>
      </c>
      <c r="K169" s="16" t="s">
        <v>439</v>
      </c>
      <c r="L169" s="56">
        <v>2016</v>
      </c>
    </row>
    <row r="170" spans="1:12" ht="12" customHeight="1">
      <c r="A170" s="45">
        <v>61068642</v>
      </c>
      <c r="B170" s="44">
        <v>9789504647683</v>
      </c>
      <c r="C170" s="44" t="s">
        <v>8</v>
      </c>
      <c r="D170" s="45" t="s">
        <v>154</v>
      </c>
      <c r="E170" s="45" t="s">
        <v>86</v>
      </c>
      <c r="F170" s="45" t="s">
        <v>460</v>
      </c>
      <c r="G170" s="26">
        <v>2990</v>
      </c>
      <c r="H170" s="26">
        <f t="shared" si="2"/>
        <v>1495</v>
      </c>
      <c r="I170" s="56"/>
      <c r="J170" s="46"/>
      <c r="K170" s="16" t="str">
        <f>HYPERLINK("https://www.loqueleo.com/ar/libro/emanuel-y-margarita-un-viaje-inesperado","VER")</f>
        <v>VER</v>
      </c>
      <c r="L170" s="56">
        <v>2016</v>
      </c>
    </row>
    <row r="171" spans="1:12" ht="12" customHeight="1">
      <c r="A171" s="45">
        <v>61070102</v>
      </c>
      <c r="B171" s="44">
        <v>9789504643951</v>
      </c>
      <c r="C171" s="44" t="s">
        <v>8</v>
      </c>
      <c r="D171" s="45" t="s">
        <v>155</v>
      </c>
      <c r="E171" s="45" t="s">
        <v>43</v>
      </c>
      <c r="F171" s="45" t="s">
        <v>461</v>
      </c>
      <c r="G171" s="26">
        <v>2200</v>
      </c>
      <c r="H171" s="26">
        <f t="shared" si="2"/>
        <v>1100</v>
      </c>
      <c r="I171" s="56"/>
      <c r="J171" s="46"/>
      <c r="K171" s="16" t="str">
        <f>HYPERLINK("https://www.loqueleo.com/ar/libro/las-empanadas-criollas-son-una-joya","VER")</f>
        <v>VER</v>
      </c>
      <c r="L171" s="56">
        <v>2016</v>
      </c>
    </row>
    <row r="172" spans="1:12" ht="12" customHeight="1">
      <c r="A172" s="45">
        <v>61070135</v>
      </c>
      <c r="B172" s="44">
        <v>9789504646419</v>
      </c>
      <c r="C172" s="44" t="s">
        <v>8</v>
      </c>
      <c r="D172" s="45" t="s">
        <v>156</v>
      </c>
      <c r="E172" s="45" t="s">
        <v>10</v>
      </c>
      <c r="F172" s="45" t="s">
        <v>463</v>
      </c>
      <c r="G172" s="26">
        <v>2200</v>
      </c>
      <c r="H172" s="26">
        <f t="shared" si="2"/>
        <v>1100</v>
      </c>
      <c r="I172" s="56"/>
      <c r="J172" s="46"/>
      <c r="K172" s="16" t="str">
        <f>HYPERLINK("https://www.loqueleo.com/ar/libro/en-carnaval-berta-disfraza-a-su-gato","VER")</f>
        <v>VER</v>
      </c>
      <c r="L172" s="56">
        <v>2015</v>
      </c>
    </row>
    <row r="173" spans="1:12" s="6" customFormat="1" ht="12" customHeight="1">
      <c r="A173" s="45">
        <v>61069201</v>
      </c>
      <c r="B173" s="44">
        <v>9789504643470</v>
      </c>
      <c r="C173" s="44" t="s">
        <v>8</v>
      </c>
      <c r="D173" s="45" t="s">
        <v>157</v>
      </c>
      <c r="E173" s="45" t="s">
        <v>43</v>
      </c>
      <c r="F173" s="45" t="s">
        <v>462</v>
      </c>
      <c r="G173" s="26">
        <v>2400</v>
      </c>
      <c r="H173" s="26">
        <f t="shared" si="2"/>
        <v>1200</v>
      </c>
      <c r="I173" s="56"/>
      <c r="J173" s="46" t="s">
        <v>348</v>
      </c>
      <c r="K173" s="16" t="str">
        <f>HYPERLINK("https://www.loqueleo.com/ar/libro/en-estas-hojas-detallo-como-llego-el-25-de-mayo","VER")</f>
        <v>VER</v>
      </c>
      <c r="L173" s="56">
        <v>2016</v>
      </c>
    </row>
    <row r="174" spans="1:12" ht="12" customHeight="1">
      <c r="A174" s="50">
        <v>61078619</v>
      </c>
      <c r="B174" s="44">
        <v>9789504653080</v>
      </c>
      <c r="C174" s="44" t="s">
        <v>8</v>
      </c>
      <c r="D174" s="50" t="s">
        <v>363</v>
      </c>
      <c r="E174" s="50" t="s">
        <v>23</v>
      </c>
      <c r="F174" s="51" t="s">
        <v>351</v>
      </c>
      <c r="G174" s="27">
        <v>3990</v>
      </c>
      <c r="H174" s="27">
        <f t="shared" si="2"/>
        <v>1995</v>
      </c>
      <c r="I174" s="56"/>
      <c r="J174" s="46"/>
      <c r="K174" s="16" t="str">
        <f>HYPERLINK("https://www.loqueleo.com/ar/libro/la-enciclopedia-de-las-chicas-perla","VER")</f>
        <v>VER</v>
      </c>
      <c r="L174" s="56">
        <v>2017</v>
      </c>
    </row>
    <row r="175" spans="1:12" ht="12" customHeight="1">
      <c r="A175" s="45">
        <v>61070123</v>
      </c>
      <c r="B175" s="44">
        <v>9789504647089</v>
      </c>
      <c r="C175" s="44" t="s">
        <v>8</v>
      </c>
      <c r="D175" s="45" t="s">
        <v>158</v>
      </c>
      <c r="E175" s="45" t="s">
        <v>23</v>
      </c>
      <c r="F175" s="45" t="s">
        <v>462</v>
      </c>
      <c r="G175" s="26">
        <v>2990</v>
      </c>
      <c r="H175" s="26">
        <f t="shared" si="2"/>
        <v>1495</v>
      </c>
      <c r="I175" s="56"/>
      <c r="J175" s="46"/>
      <c r="K175" s="16" t="str">
        <f>HYPERLINK("https://www.loqueleo.com/ar/libro/la-enciclopedia-de-las-chicas-perla-1","VER")</f>
        <v>VER</v>
      </c>
      <c r="L175" s="56">
        <v>2017</v>
      </c>
    </row>
    <row r="176" spans="1:12" ht="12" customHeight="1">
      <c r="A176" s="48">
        <v>61081529</v>
      </c>
      <c r="B176" s="49">
        <v>9789504653820</v>
      </c>
      <c r="C176" s="49" t="s">
        <v>8</v>
      </c>
      <c r="D176" s="53" t="s">
        <v>349</v>
      </c>
      <c r="E176" s="53" t="s">
        <v>58</v>
      </c>
      <c r="F176" s="45" t="s">
        <v>461</v>
      </c>
      <c r="G176" s="26">
        <v>2400</v>
      </c>
      <c r="H176" s="26">
        <f t="shared" si="2"/>
        <v>1200</v>
      </c>
      <c r="I176" s="57"/>
      <c r="J176" s="46"/>
      <c r="K176" s="16" t="str">
        <f>HYPERLINK("https://www.loqueleo.com/ar/libro/escape-a-la-india","VER")</f>
        <v>VER</v>
      </c>
      <c r="L176" s="57">
        <v>2017</v>
      </c>
    </row>
    <row r="177" spans="1:12" ht="12" customHeight="1">
      <c r="A177" s="45">
        <v>61071831</v>
      </c>
      <c r="B177" s="44">
        <v>9789504648178</v>
      </c>
      <c r="C177" s="44" t="s">
        <v>8</v>
      </c>
      <c r="D177" s="45" t="s">
        <v>159</v>
      </c>
      <c r="E177" s="45" t="s">
        <v>160</v>
      </c>
      <c r="F177" s="45" t="s">
        <v>26</v>
      </c>
      <c r="G177" s="26">
        <v>2890</v>
      </c>
      <c r="H177" s="26">
        <f t="shared" si="2"/>
        <v>1445</v>
      </c>
      <c r="I177" s="56"/>
      <c r="J177" s="46"/>
      <c r="K177" s="16" t="str">
        <f>HYPERLINK("https://www.loqueleo.com/ar/libro/el-escarabajo-de-oro","VER")</f>
        <v>VER</v>
      </c>
      <c r="L177" s="56">
        <v>2016</v>
      </c>
    </row>
    <row r="178" spans="1:12" ht="12" customHeight="1">
      <c r="A178" s="45">
        <v>61070067</v>
      </c>
      <c r="B178" s="44">
        <v>9789504644057</v>
      </c>
      <c r="C178" s="44" t="s">
        <v>8</v>
      </c>
      <c r="D178" s="45" t="s">
        <v>518</v>
      </c>
      <c r="E178" s="45" t="s">
        <v>12</v>
      </c>
      <c r="F178" s="45" t="s">
        <v>461</v>
      </c>
      <c r="G178" s="26">
        <v>2200</v>
      </c>
      <c r="H178" s="26">
        <f t="shared" si="2"/>
        <v>1100</v>
      </c>
      <c r="I178" s="56"/>
      <c r="J178" s="46" t="s">
        <v>348</v>
      </c>
      <c r="K178" s="16" t="str">
        <f>HYPERLINK("https://www.loqueleo.com/ar/libro/el-espejo-distraido","VER")</f>
        <v>VER</v>
      </c>
      <c r="L178" s="56">
        <v>2017</v>
      </c>
    </row>
    <row r="179" spans="1:12" ht="12" customHeight="1">
      <c r="A179" s="45">
        <v>61090056</v>
      </c>
      <c r="B179" s="44">
        <v>9789504658894</v>
      </c>
      <c r="C179" s="44" t="s">
        <v>8</v>
      </c>
      <c r="D179" s="45" t="s">
        <v>425</v>
      </c>
      <c r="E179" s="45" t="s">
        <v>163</v>
      </c>
      <c r="F179" s="45" t="s">
        <v>462</v>
      </c>
      <c r="G179" s="26">
        <v>2400</v>
      </c>
      <c r="H179" s="26">
        <f t="shared" si="2"/>
        <v>1200</v>
      </c>
      <c r="I179" s="56"/>
      <c r="J179" s="46"/>
      <c r="K179" s="16" t="str">
        <f>HYPERLINK("https://www.loqueleo.com/ar/libro/la-estacion-de-los-espejos","VER")</f>
        <v>VER</v>
      </c>
      <c r="L179" s="56">
        <v>2019</v>
      </c>
    </row>
    <row r="180" spans="1:12" ht="12" customHeight="1">
      <c r="A180" s="45">
        <v>61082320</v>
      </c>
      <c r="B180" s="44">
        <v>9789504656012</v>
      </c>
      <c r="C180" s="44" t="s">
        <v>8</v>
      </c>
      <c r="D180" s="45" t="s">
        <v>381</v>
      </c>
      <c r="E180" s="45" t="s">
        <v>109</v>
      </c>
      <c r="F180" s="45" t="s">
        <v>26</v>
      </c>
      <c r="G180" s="26">
        <v>3100</v>
      </c>
      <c r="H180" s="26">
        <f t="shared" si="2"/>
        <v>1550</v>
      </c>
      <c r="I180" s="56"/>
      <c r="J180" s="46"/>
      <c r="K180" s="16" t="str">
        <f>HYPERLINK("https://www.loqueleo.com/ar/libro/estilo-libre","VER")</f>
        <v>VER</v>
      </c>
      <c r="L180" s="56">
        <v>2018</v>
      </c>
    </row>
    <row r="181" spans="1:12" ht="12" customHeight="1">
      <c r="A181" s="45">
        <v>61070060</v>
      </c>
      <c r="B181" s="44">
        <v>9789504645160</v>
      </c>
      <c r="C181" s="44" t="s">
        <v>8</v>
      </c>
      <c r="D181" s="45" t="s">
        <v>161</v>
      </c>
      <c r="E181" s="45" t="s">
        <v>52</v>
      </c>
      <c r="F181" s="45" t="s">
        <v>462</v>
      </c>
      <c r="G181" s="26">
        <v>2990</v>
      </c>
      <c r="H181" s="26">
        <f t="shared" si="2"/>
        <v>1495</v>
      </c>
      <c r="I181" s="56"/>
      <c r="J181" s="46"/>
      <c r="K181" s="16" t="str">
        <f>HYPERLINK("https://www.loqueleo.com/ar/libro/la-expedicion","VER")</f>
        <v>VER</v>
      </c>
      <c r="L181" s="56">
        <v>2016</v>
      </c>
    </row>
    <row r="182" spans="1:12" ht="12" customHeight="1">
      <c r="A182" s="45">
        <v>61069276</v>
      </c>
      <c r="B182" s="44">
        <v>9789504644194</v>
      </c>
      <c r="C182" s="44" t="s">
        <v>8</v>
      </c>
      <c r="D182" s="45" t="s">
        <v>162</v>
      </c>
      <c r="E182" s="45" t="s">
        <v>163</v>
      </c>
      <c r="F182" s="45" t="s">
        <v>460</v>
      </c>
      <c r="G182" s="26">
        <v>2990</v>
      </c>
      <c r="H182" s="26">
        <f t="shared" si="2"/>
        <v>1495</v>
      </c>
      <c r="I182" s="56"/>
      <c r="J182" s="46"/>
      <c r="K182" s="16" t="str">
        <f>HYPERLINK("https://www.loqueleo.com/ar/libro/los-extranamientos","VER")</f>
        <v>VER</v>
      </c>
      <c r="L182" s="56">
        <v>2016</v>
      </c>
    </row>
    <row r="183" spans="1:12" ht="12" customHeight="1">
      <c r="A183" s="45">
        <v>61071846</v>
      </c>
      <c r="B183" s="44">
        <v>9789504648215</v>
      </c>
      <c r="C183" s="44" t="s">
        <v>8</v>
      </c>
      <c r="D183" s="45" t="s">
        <v>164</v>
      </c>
      <c r="E183" s="45" t="s">
        <v>134</v>
      </c>
      <c r="F183" s="45" t="s">
        <v>26</v>
      </c>
      <c r="G183" s="26">
        <v>2890</v>
      </c>
      <c r="H183" s="26">
        <f t="shared" si="2"/>
        <v>1445</v>
      </c>
      <c r="I183" s="56"/>
      <c r="J183" s="46"/>
      <c r="K183" s="16" t="str">
        <f>HYPERLINK("https://www.loqueleo.com/ar/libro/el-extrano-caso-del-dr.-jekyll-y-mr.-hyde","VER")</f>
        <v>VER</v>
      </c>
      <c r="L183" s="56">
        <v>2016</v>
      </c>
    </row>
    <row r="184" spans="1:12" ht="12" customHeight="1">
      <c r="A184" s="45">
        <v>61087284</v>
      </c>
      <c r="B184" s="44">
        <v>9789504657729</v>
      </c>
      <c r="C184" s="44" t="s">
        <v>8</v>
      </c>
      <c r="D184" s="45" t="s">
        <v>398</v>
      </c>
      <c r="E184" s="45" t="s">
        <v>23</v>
      </c>
      <c r="F184" s="45" t="s">
        <v>396</v>
      </c>
      <c r="G184" s="26">
        <v>1750</v>
      </c>
      <c r="H184" s="26">
        <f t="shared" si="2"/>
        <v>875</v>
      </c>
      <c r="I184" s="56"/>
      <c r="J184" s="46"/>
      <c r="K184" s="16" t="str">
        <f>HYPERLINK("https://www.loqueleo.com/ar/libro/la-fabrica-de-chistes","VER")</f>
        <v>VER</v>
      </c>
      <c r="L184" s="56">
        <v>2018</v>
      </c>
    </row>
    <row r="185" spans="1:12" s="7" customFormat="1" ht="12" customHeight="1">
      <c r="A185" s="45">
        <v>61070075</v>
      </c>
      <c r="B185" s="44">
        <v>9789504645788</v>
      </c>
      <c r="C185" s="44" t="s">
        <v>8</v>
      </c>
      <c r="D185" s="45" t="s">
        <v>165</v>
      </c>
      <c r="E185" s="45" t="s">
        <v>66</v>
      </c>
      <c r="F185" s="45" t="s">
        <v>462</v>
      </c>
      <c r="G185" s="26">
        <v>2400</v>
      </c>
      <c r="H185" s="26">
        <f t="shared" si="2"/>
        <v>1200</v>
      </c>
      <c r="I185" s="56"/>
      <c r="J185" s="46"/>
      <c r="K185" s="16" t="str">
        <f>HYPERLINK("https://www.loqueleo.com/ar/libro/la-fabrica-de-serenatas","VER")</f>
        <v>VER</v>
      </c>
      <c r="L185" s="56">
        <v>2016</v>
      </c>
    </row>
    <row r="186" spans="1:12" ht="12" customHeight="1">
      <c r="A186" s="45">
        <v>61071839</v>
      </c>
      <c r="B186" s="44">
        <v>9789504648246</v>
      </c>
      <c r="C186" s="44" t="s">
        <v>8</v>
      </c>
      <c r="D186" s="45" t="s">
        <v>519</v>
      </c>
      <c r="E186" s="45" t="s">
        <v>520</v>
      </c>
      <c r="F186" s="45" t="s">
        <v>26</v>
      </c>
      <c r="G186" s="26">
        <v>2890</v>
      </c>
      <c r="H186" s="26">
        <f t="shared" si="2"/>
        <v>1445</v>
      </c>
      <c r="I186" s="56"/>
      <c r="J186" s="46"/>
      <c r="K186" s="16" t="str">
        <f>HYPERLINK("https://www.loqueleo.com/ar/libro/el-fantasma-de-canterville","VER")</f>
        <v>VER</v>
      </c>
      <c r="L186" s="56">
        <v>2017</v>
      </c>
    </row>
    <row r="187" spans="1:12" s="7" customFormat="1" ht="12" customHeight="1">
      <c r="A187" s="45">
        <v>61085515</v>
      </c>
      <c r="B187" s="44">
        <v>9789504656616</v>
      </c>
      <c r="C187" s="44" t="s">
        <v>8</v>
      </c>
      <c r="D187" s="45" t="s">
        <v>392</v>
      </c>
      <c r="E187" s="45" t="s">
        <v>48</v>
      </c>
      <c r="F187" s="45" t="s">
        <v>461</v>
      </c>
      <c r="G187" s="26">
        <v>2200</v>
      </c>
      <c r="H187" s="26">
        <f t="shared" si="2"/>
        <v>1100</v>
      </c>
      <c r="I187" s="56"/>
      <c r="J187" s="46"/>
      <c r="K187" s="16" t="str">
        <f>HYPERLINK("https://www.loqueleo.com/ar/libro/los-fantasmas-tienen-buena-letra","VER")</f>
        <v>VER</v>
      </c>
      <c r="L187" s="56">
        <v>2018</v>
      </c>
    </row>
    <row r="188" spans="1:12" ht="12" customHeight="1">
      <c r="A188" s="45">
        <v>61077658</v>
      </c>
      <c r="B188" s="44">
        <v>9789504652663</v>
      </c>
      <c r="C188" s="44" t="s">
        <v>8</v>
      </c>
      <c r="D188" s="45" t="s">
        <v>166</v>
      </c>
      <c r="E188" s="45" t="s">
        <v>167</v>
      </c>
      <c r="F188" s="45" t="s">
        <v>461</v>
      </c>
      <c r="G188" s="26">
        <v>2200</v>
      </c>
      <c r="H188" s="26">
        <f t="shared" si="2"/>
        <v>1100</v>
      </c>
      <c r="I188" s="56"/>
      <c r="J188" s="46"/>
      <c r="K188" s="16" t="str">
        <f>HYPERLINK("https://www.loqueleo.com/ar/libro/el-fantastico-misterio-de-la-princesa-desconocida","VER")</f>
        <v>VER</v>
      </c>
      <c r="L188" s="56">
        <v>2017</v>
      </c>
    </row>
    <row r="189" spans="1:12" s="28" customFormat="1" ht="12" customHeight="1">
      <c r="A189" s="45">
        <v>61085514</v>
      </c>
      <c r="B189" s="44">
        <v>9789504656609</v>
      </c>
      <c r="C189" s="44" t="s">
        <v>8</v>
      </c>
      <c r="D189" s="45" t="s">
        <v>393</v>
      </c>
      <c r="E189" s="45" t="s">
        <v>41</v>
      </c>
      <c r="F189" s="45" t="s">
        <v>26</v>
      </c>
      <c r="G189" s="26">
        <v>3100</v>
      </c>
      <c r="H189" s="26">
        <f t="shared" si="2"/>
        <v>1550</v>
      </c>
      <c r="I189" s="56"/>
      <c r="J189" s="46"/>
      <c r="K189" s="16" t="str">
        <f>HYPERLINK("https://www.loqueleo.com/ar/libro/la-fiesta","VER")</f>
        <v>VER</v>
      </c>
      <c r="L189" s="56">
        <v>2018</v>
      </c>
    </row>
    <row r="190" spans="1:12" ht="12" customHeight="1">
      <c r="A190" s="45">
        <v>61069266</v>
      </c>
      <c r="B190" s="44">
        <v>9789504643142</v>
      </c>
      <c r="C190" s="44" t="s">
        <v>8</v>
      </c>
      <c r="D190" s="45" t="s">
        <v>168</v>
      </c>
      <c r="E190" s="45" t="s">
        <v>10</v>
      </c>
      <c r="F190" s="45" t="s">
        <v>459</v>
      </c>
      <c r="G190" s="26">
        <v>2600</v>
      </c>
      <c r="H190" s="26">
        <f t="shared" si="2"/>
        <v>1300</v>
      </c>
      <c r="I190" s="56"/>
      <c r="J190" s="46"/>
      <c r="K190" s="16" t="str">
        <f>HYPERLINK("https://www.loqueleo.com/ar/libro/filotea","VER")</f>
        <v>VER</v>
      </c>
      <c r="L190" s="56">
        <v>2016</v>
      </c>
    </row>
    <row r="191" spans="1:12" ht="12" customHeight="1">
      <c r="A191" s="21">
        <v>61093873</v>
      </c>
      <c r="B191" s="21">
        <v>9789504662068</v>
      </c>
      <c r="C191" s="21" t="s">
        <v>8</v>
      </c>
      <c r="D191" s="22" t="s">
        <v>447</v>
      </c>
      <c r="E191" s="23" t="s">
        <v>86</v>
      </c>
      <c r="F191" s="24" t="s">
        <v>461</v>
      </c>
      <c r="G191" s="25">
        <v>2400</v>
      </c>
      <c r="H191" s="25">
        <f t="shared" si="2"/>
        <v>1200</v>
      </c>
      <c r="I191" s="30"/>
      <c r="J191" s="20" t="s">
        <v>497</v>
      </c>
      <c r="K191" s="29" t="s">
        <v>439</v>
      </c>
      <c r="L191" s="30">
        <v>2021</v>
      </c>
    </row>
    <row r="192" spans="1:12" ht="12" customHeight="1">
      <c r="A192" s="45">
        <v>61073213</v>
      </c>
      <c r="B192" s="44">
        <v>9789504652465</v>
      </c>
      <c r="C192" s="44" t="s">
        <v>8</v>
      </c>
      <c r="D192" s="45" t="s">
        <v>435</v>
      </c>
      <c r="E192" s="45" t="s">
        <v>30</v>
      </c>
      <c r="F192" s="45" t="s">
        <v>463</v>
      </c>
      <c r="G192" s="26">
        <v>3100</v>
      </c>
      <c r="H192" s="26">
        <f t="shared" si="2"/>
        <v>1550</v>
      </c>
      <c r="I192" s="56"/>
      <c r="J192" s="46"/>
      <c r="K192" s="16" t="str">
        <f>HYPERLINK("https://www.loqueleo.com/ar/libro/flor-de-nena","VER")</f>
        <v>VER</v>
      </c>
      <c r="L192" s="56">
        <v>2017</v>
      </c>
    </row>
    <row r="193" spans="1:12" ht="12" customHeight="1">
      <c r="A193" s="45">
        <v>61089590</v>
      </c>
      <c r="B193" s="44">
        <v>9789504658849</v>
      </c>
      <c r="C193" s="44" t="s">
        <v>8</v>
      </c>
      <c r="D193" s="45" t="s">
        <v>424</v>
      </c>
      <c r="E193" s="45" t="s">
        <v>421</v>
      </c>
      <c r="F193" s="45" t="s">
        <v>460</v>
      </c>
      <c r="G193" s="26">
        <v>2990</v>
      </c>
      <c r="H193" s="26">
        <f t="shared" si="2"/>
        <v>1495</v>
      </c>
      <c r="I193" s="56"/>
      <c r="J193" s="46"/>
      <c r="K193" s="16" t="str">
        <f>HYPERLINK("https://www.loqueleo.com/ar/libro/la-forma-china-de-guardar-las-cosas","VER")</f>
        <v>VER</v>
      </c>
      <c r="L193" s="56">
        <v>2019</v>
      </c>
    </row>
    <row r="194" spans="1:12" ht="12" customHeight="1">
      <c r="A194" s="45">
        <v>61069254</v>
      </c>
      <c r="B194" s="44">
        <v>9789504643852</v>
      </c>
      <c r="C194" s="44" t="s">
        <v>8</v>
      </c>
      <c r="D194" s="45" t="s">
        <v>521</v>
      </c>
      <c r="E194" s="45" t="s">
        <v>522</v>
      </c>
      <c r="F194" s="45" t="s">
        <v>26</v>
      </c>
      <c r="G194" s="26">
        <v>2890</v>
      </c>
      <c r="H194" s="26">
        <f t="shared" si="2"/>
        <v>1445</v>
      </c>
      <c r="I194" s="56"/>
      <c r="J194" s="46"/>
      <c r="K194" s="16" t="str">
        <f>HYPERLINK("https://www.loqueleo.com/ar/libro/frankenstein","VER")</f>
        <v>VER</v>
      </c>
      <c r="L194" s="56">
        <v>2016</v>
      </c>
    </row>
    <row r="195" spans="1:12" ht="12" customHeight="1">
      <c r="A195" s="45">
        <v>61069237</v>
      </c>
      <c r="B195" s="44">
        <v>9789504643029</v>
      </c>
      <c r="C195" s="44" t="s">
        <v>8</v>
      </c>
      <c r="D195" s="45" t="s">
        <v>169</v>
      </c>
      <c r="E195" s="45" t="s">
        <v>23</v>
      </c>
      <c r="F195" s="45" t="s">
        <v>462</v>
      </c>
      <c r="G195" s="26">
        <v>2990</v>
      </c>
      <c r="H195" s="26">
        <f t="shared" si="2"/>
        <v>1495</v>
      </c>
      <c r="I195" s="56"/>
      <c r="J195" s="46" t="s">
        <v>348</v>
      </c>
      <c r="K195" s="16" t="str">
        <f>HYPERLINK("https://www.loqueleo.com/ar/libro/frin","VER")</f>
        <v>VER</v>
      </c>
      <c r="L195" s="56">
        <v>2016</v>
      </c>
    </row>
    <row r="196" spans="1:12" ht="12" customHeight="1">
      <c r="A196" s="45">
        <v>61088918</v>
      </c>
      <c r="B196" s="44">
        <v>9789504658474</v>
      </c>
      <c r="C196" s="44" t="s">
        <v>8</v>
      </c>
      <c r="D196" s="45" t="s">
        <v>417</v>
      </c>
      <c r="E196" s="45" t="s">
        <v>23</v>
      </c>
      <c r="F196" s="45" t="s">
        <v>462</v>
      </c>
      <c r="G196" s="26">
        <v>2990</v>
      </c>
      <c r="H196" s="26">
        <f t="shared" si="2"/>
        <v>1495</v>
      </c>
      <c r="I196" s="56"/>
      <c r="J196" s="46"/>
      <c r="K196" s="16" t="str">
        <f>HYPERLINK("https://www.loqueleo.com/ar/libro/fue-rafles-natacha","VER")</f>
        <v>VER</v>
      </c>
      <c r="L196" s="56">
        <v>2019</v>
      </c>
    </row>
    <row r="197" spans="1:12" s="7" customFormat="1" ht="12" customHeight="1">
      <c r="A197" s="45">
        <v>61070001</v>
      </c>
      <c r="B197" s="44">
        <v>9789504645825</v>
      </c>
      <c r="C197" s="44" t="s">
        <v>8</v>
      </c>
      <c r="D197" s="45" t="s">
        <v>170</v>
      </c>
      <c r="E197" s="45" t="s">
        <v>109</v>
      </c>
      <c r="F197" s="45" t="s">
        <v>461</v>
      </c>
      <c r="G197" s="26">
        <v>2200</v>
      </c>
      <c r="H197" s="26">
        <f t="shared" si="2"/>
        <v>1100</v>
      </c>
      <c r="I197" s="56"/>
      <c r="J197" s="46"/>
      <c r="K197" s="16" t="str">
        <f>HYPERLINK("https://www.loqueleo.com/ar/libro/galeria-de-seres-espantosos","VER")</f>
        <v>VER</v>
      </c>
      <c r="L197" s="56">
        <v>2016</v>
      </c>
    </row>
    <row r="198" spans="1:12" ht="12" customHeight="1">
      <c r="A198" s="45">
        <v>61070136</v>
      </c>
      <c r="B198" s="44">
        <v>9789504646426</v>
      </c>
      <c r="C198" s="44" t="s">
        <v>8</v>
      </c>
      <c r="D198" s="45" t="s">
        <v>171</v>
      </c>
      <c r="E198" s="45" t="s">
        <v>10</v>
      </c>
      <c r="F198" s="45" t="s">
        <v>463</v>
      </c>
      <c r="G198" s="26">
        <v>2200</v>
      </c>
      <c r="H198" s="26">
        <f t="shared" si="2"/>
        <v>1100</v>
      </c>
      <c r="I198" s="56"/>
      <c r="J198" s="46"/>
      <c r="K198" s="16" t="str">
        <f>HYPERLINK("https://www.loqueleo.com/ar/libro/el-gato-de-berta-tiene-pocas-pulgas","VER")</f>
        <v>VER</v>
      </c>
      <c r="L198" s="56">
        <v>2015</v>
      </c>
    </row>
    <row r="199" spans="1:12" s="28" customFormat="1" ht="12" customHeight="1">
      <c r="A199" s="45">
        <v>61069231</v>
      </c>
      <c r="B199" s="44">
        <v>9789504643548</v>
      </c>
      <c r="C199" s="44" t="s">
        <v>8</v>
      </c>
      <c r="D199" s="45" t="s">
        <v>172</v>
      </c>
      <c r="E199" s="45" t="s">
        <v>27</v>
      </c>
      <c r="F199" s="45" t="s">
        <v>462</v>
      </c>
      <c r="G199" s="26">
        <v>2400</v>
      </c>
      <c r="H199" s="26">
        <f t="shared" si="2"/>
        <v>1200</v>
      </c>
      <c r="I199" s="56"/>
      <c r="J199" s="46"/>
      <c r="K199" s="16" t="str">
        <f>HYPERLINK("https://www.loqueleo.com/ar/libro/el-genio-de-la-cartuchera","VER")</f>
        <v>VER</v>
      </c>
      <c r="L199" s="56">
        <v>2016</v>
      </c>
    </row>
    <row r="200" spans="1:12" ht="12" customHeight="1">
      <c r="A200" s="45">
        <v>61069514</v>
      </c>
      <c r="B200" s="44">
        <v>9789504649021</v>
      </c>
      <c r="C200" s="44" t="s">
        <v>8</v>
      </c>
      <c r="D200" s="45" t="s">
        <v>523</v>
      </c>
      <c r="E200" s="45" t="s">
        <v>30</v>
      </c>
      <c r="F200" s="45" t="s">
        <v>463</v>
      </c>
      <c r="G200" s="26">
        <v>2700</v>
      </c>
      <c r="H200" s="26">
        <f t="shared" si="2"/>
        <v>1350</v>
      </c>
      <c r="I200" s="56"/>
      <c r="J200" s="46" t="s">
        <v>348</v>
      </c>
      <c r="K200" s="16" t="str">
        <f>HYPERLINK("https://www.loqueleo.com/ar/libro/el-globo-azul","VER")</f>
        <v>VER</v>
      </c>
      <c r="L200" s="56">
        <v>2017</v>
      </c>
    </row>
    <row r="201" spans="1:12" ht="12" customHeight="1">
      <c r="A201" s="45">
        <v>61068640</v>
      </c>
      <c r="B201" s="44">
        <v>9789504649069</v>
      </c>
      <c r="C201" s="44" t="s">
        <v>8</v>
      </c>
      <c r="D201" s="45" t="s">
        <v>173</v>
      </c>
      <c r="E201" s="45" t="s">
        <v>146</v>
      </c>
      <c r="F201" s="45" t="s">
        <v>464</v>
      </c>
      <c r="G201" s="26">
        <v>2600</v>
      </c>
      <c r="H201" s="26">
        <f aca="true" t="shared" si="3" ref="H201:H264">+G201/2</f>
        <v>1300</v>
      </c>
      <c r="I201" s="56"/>
      <c r="J201" s="46"/>
      <c r="K201" s="16" t="str">
        <f>HYPERLINK("https://www.loqueleo.com/ar/libro/el-gran-dia-de-brutilda","VER")</f>
        <v>VER</v>
      </c>
      <c r="L201" s="56">
        <v>2016</v>
      </c>
    </row>
    <row r="202" spans="1:12" ht="12" customHeight="1">
      <c r="A202" s="45">
        <v>61070505</v>
      </c>
      <c r="B202" s="44">
        <v>9789504649083</v>
      </c>
      <c r="C202" s="44" t="s">
        <v>8</v>
      </c>
      <c r="D202" s="45" t="s">
        <v>174</v>
      </c>
      <c r="E202" s="45" t="s">
        <v>19</v>
      </c>
      <c r="F202" s="45" t="s">
        <v>460</v>
      </c>
      <c r="G202" s="26">
        <v>2990</v>
      </c>
      <c r="H202" s="26">
        <f t="shared" si="3"/>
        <v>1495</v>
      </c>
      <c r="I202" s="56"/>
      <c r="J202" s="46"/>
      <c r="K202" s="16" t="str">
        <f>HYPERLINK("https://www.loqueleo.com/ar/libro/el-gran-gigante-bonachon","VER")</f>
        <v>VER</v>
      </c>
      <c r="L202" s="56">
        <v>2016</v>
      </c>
    </row>
    <row r="203" spans="1:12" ht="12" customHeight="1">
      <c r="A203" s="45">
        <v>61071763</v>
      </c>
      <c r="B203" s="44">
        <v>9789504648925</v>
      </c>
      <c r="C203" s="44" t="s">
        <v>8</v>
      </c>
      <c r="D203" s="45" t="s">
        <v>377</v>
      </c>
      <c r="E203" s="45" t="s">
        <v>71</v>
      </c>
      <c r="F203" s="45" t="s">
        <v>460</v>
      </c>
      <c r="G203" s="26">
        <v>2990</v>
      </c>
      <c r="H203" s="26">
        <f t="shared" si="3"/>
        <v>1495</v>
      </c>
      <c r="I203" s="56"/>
      <c r="J203" s="46"/>
      <c r="K203" s="16" t="str">
        <f>HYPERLINK("https://www.loqueleo.com/ar/libro/la-gran-jugada","VER")</f>
        <v>VER</v>
      </c>
      <c r="L203" s="56">
        <v>2016</v>
      </c>
    </row>
    <row r="204" spans="1:12" ht="12" customHeight="1">
      <c r="A204" s="45">
        <v>61068395</v>
      </c>
      <c r="B204" s="44">
        <v>9789504644798</v>
      </c>
      <c r="C204" s="44" t="s">
        <v>8</v>
      </c>
      <c r="D204" s="45" t="s">
        <v>175</v>
      </c>
      <c r="E204" s="45" t="s">
        <v>86</v>
      </c>
      <c r="F204" s="45" t="s">
        <v>460</v>
      </c>
      <c r="G204" s="26">
        <v>2990</v>
      </c>
      <c r="H204" s="26">
        <f t="shared" si="3"/>
        <v>1495</v>
      </c>
      <c r="I204" s="56"/>
      <c r="J204" s="46"/>
      <c r="K204" s="16" t="str">
        <f>HYPERLINK("https://www.loqueleo.com/ar/libro/guerra-de-serpientes","VER")</f>
        <v>VER</v>
      </c>
      <c r="L204" s="56">
        <v>2016</v>
      </c>
    </row>
    <row r="205" spans="1:12" ht="12" customHeight="1">
      <c r="A205" s="45">
        <v>61071848</v>
      </c>
      <c r="B205" s="44">
        <v>9789504648857</v>
      </c>
      <c r="C205" s="44" t="s">
        <v>8</v>
      </c>
      <c r="D205" s="45" t="s">
        <v>176</v>
      </c>
      <c r="E205" s="45" t="s">
        <v>18</v>
      </c>
      <c r="F205" s="45" t="s">
        <v>460</v>
      </c>
      <c r="G205" s="26">
        <v>2400</v>
      </c>
      <c r="H205" s="26">
        <f t="shared" si="3"/>
        <v>1200</v>
      </c>
      <c r="I205" s="56"/>
      <c r="J205" s="46"/>
      <c r="K205" s="16" t="str">
        <f>HYPERLINK("https://www.loqueleo.com/ar/libro/los-guerreros-de-la-hierba","VER")</f>
        <v>VER</v>
      </c>
      <c r="L205" s="56">
        <v>2016</v>
      </c>
    </row>
    <row r="206" spans="1:12" ht="12" customHeight="1">
      <c r="A206" s="45">
        <v>61070127</v>
      </c>
      <c r="B206" s="44">
        <v>9789504646365</v>
      </c>
      <c r="C206" s="44" t="s">
        <v>8</v>
      </c>
      <c r="D206" s="45" t="s">
        <v>177</v>
      </c>
      <c r="E206" s="45" t="s">
        <v>30</v>
      </c>
      <c r="F206" s="45" t="s">
        <v>463</v>
      </c>
      <c r="G206" s="26">
        <v>2200</v>
      </c>
      <c r="H206" s="26">
        <f t="shared" si="3"/>
        <v>1100</v>
      </c>
      <c r="I206" s="56"/>
      <c r="J206" s="46"/>
      <c r="K206" s="16" t="str">
        <f>HYPERLINK("https://www.loqueleo.com/ar/libro/habia-una-vez-un-barco","VER")</f>
        <v>VER</v>
      </c>
      <c r="L206" s="56">
        <v>2016</v>
      </c>
    </row>
    <row r="207" spans="1:12" ht="12" customHeight="1">
      <c r="A207" s="45">
        <v>61070130</v>
      </c>
      <c r="B207" s="44">
        <v>9789504646341</v>
      </c>
      <c r="C207" s="44" t="s">
        <v>8</v>
      </c>
      <c r="D207" s="45" t="s">
        <v>178</v>
      </c>
      <c r="E207" s="45" t="s">
        <v>30</v>
      </c>
      <c r="F207" s="45" t="s">
        <v>463</v>
      </c>
      <c r="G207" s="26">
        <v>2200</v>
      </c>
      <c r="H207" s="26">
        <f t="shared" si="3"/>
        <v>1100</v>
      </c>
      <c r="I207" s="56"/>
      <c r="J207" s="46"/>
      <c r="K207" s="16" t="str">
        <f>HYPERLINK("https://www.loqueleo.com/ar/libro/habia-una-vez-una-casa","VER")</f>
        <v>VER</v>
      </c>
      <c r="L207" s="56">
        <v>2016</v>
      </c>
    </row>
    <row r="208" spans="1:12" s="6" customFormat="1" ht="12" customHeight="1">
      <c r="A208" s="45">
        <v>61070132</v>
      </c>
      <c r="B208" s="44">
        <v>9789504646389</v>
      </c>
      <c r="C208" s="44" t="s">
        <v>8</v>
      </c>
      <c r="D208" s="45" t="s">
        <v>179</v>
      </c>
      <c r="E208" s="45" t="s">
        <v>30</v>
      </c>
      <c r="F208" s="45" t="s">
        <v>463</v>
      </c>
      <c r="G208" s="26">
        <v>2200</v>
      </c>
      <c r="H208" s="26">
        <f t="shared" si="3"/>
        <v>1100</v>
      </c>
      <c r="I208" s="56"/>
      <c r="J208" s="46"/>
      <c r="K208" s="16" t="s">
        <v>439</v>
      </c>
      <c r="L208" s="56">
        <v>2016</v>
      </c>
    </row>
    <row r="209" spans="1:12" ht="12" customHeight="1">
      <c r="A209" s="45">
        <v>61070133</v>
      </c>
      <c r="B209" s="44">
        <v>9789504646396</v>
      </c>
      <c r="C209" s="44" t="s">
        <v>8</v>
      </c>
      <c r="D209" s="45" t="s">
        <v>180</v>
      </c>
      <c r="E209" s="45" t="s">
        <v>30</v>
      </c>
      <c r="F209" s="45" t="s">
        <v>463</v>
      </c>
      <c r="G209" s="26">
        <v>2200</v>
      </c>
      <c r="H209" s="26">
        <f t="shared" si="3"/>
        <v>1100</v>
      </c>
      <c r="I209" s="56"/>
      <c r="J209" s="46"/>
      <c r="K209" s="16" t="str">
        <f>HYPERLINK("https://www.loqueleo.com/ar/libro/habia-una-vez-una-nube","VER")</f>
        <v>VER</v>
      </c>
      <c r="L209" s="56">
        <v>2015</v>
      </c>
    </row>
    <row r="210" spans="1:12" ht="12" customHeight="1">
      <c r="A210" s="45">
        <v>61070134</v>
      </c>
      <c r="B210" s="44">
        <v>9789504646402</v>
      </c>
      <c r="C210" s="44" t="s">
        <v>8</v>
      </c>
      <c r="D210" s="45" t="s">
        <v>181</v>
      </c>
      <c r="E210" s="45" t="s">
        <v>30</v>
      </c>
      <c r="F210" s="45" t="s">
        <v>463</v>
      </c>
      <c r="G210" s="26">
        <v>2200</v>
      </c>
      <c r="H210" s="26">
        <f t="shared" si="3"/>
        <v>1100</v>
      </c>
      <c r="I210" s="56"/>
      <c r="J210" s="46"/>
      <c r="K210" s="16" t="str">
        <f>HYPERLINK("https://www.loqueleo.com/ar/libro/habia-una-vez-una-princesa","VER")</f>
        <v>VER</v>
      </c>
      <c r="L210" s="56">
        <v>2015</v>
      </c>
    </row>
    <row r="211" spans="1:12" ht="12" customHeight="1">
      <c r="A211" s="45">
        <v>61070027</v>
      </c>
      <c r="B211" s="44">
        <v>9789504644149</v>
      </c>
      <c r="C211" s="44" t="s">
        <v>8</v>
      </c>
      <c r="D211" s="45" t="s">
        <v>182</v>
      </c>
      <c r="E211" s="45" t="s">
        <v>127</v>
      </c>
      <c r="F211" s="45" t="s">
        <v>461</v>
      </c>
      <c r="G211" s="26">
        <v>2200</v>
      </c>
      <c r="H211" s="26">
        <f t="shared" si="3"/>
        <v>1100</v>
      </c>
      <c r="I211" s="56"/>
      <c r="J211" s="46"/>
      <c r="K211" s="16" t="str">
        <f>HYPERLINK("https://www.loqueleo.com/ar/libro/el-hada-mau-y-las-perfectas-malvadas","VER")</f>
        <v>VER</v>
      </c>
      <c r="L211" s="56">
        <v>2016</v>
      </c>
    </row>
    <row r="212" spans="1:12" ht="12" customHeight="1">
      <c r="A212" s="45">
        <v>61070016</v>
      </c>
      <c r="B212" s="44">
        <v>9789504644538</v>
      </c>
      <c r="C212" s="44" t="s">
        <v>8</v>
      </c>
      <c r="D212" s="45" t="s">
        <v>184</v>
      </c>
      <c r="E212" s="45" t="s">
        <v>146</v>
      </c>
      <c r="F212" s="45" t="s">
        <v>461</v>
      </c>
      <c r="G212" s="26">
        <v>2200</v>
      </c>
      <c r="H212" s="26">
        <f t="shared" si="3"/>
        <v>1100</v>
      </c>
      <c r="I212" s="56"/>
      <c r="J212" s="46"/>
      <c r="K212" s="16" t="str">
        <f>HYPERLINK("https://www.loqueleo.com/ar/libro/hasta-la-coronilla","VER")</f>
        <v>VER</v>
      </c>
      <c r="L212" s="56">
        <v>2015</v>
      </c>
    </row>
    <row r="213" spans="1:12" ht="12" customHeight="1">
      <c r="A213" s="45">
        <v>61071772</v>
      </c>
      <c r="B213" s="44">
        <v>9789504648703</v>
      </c>
      <c r="C213" s="44" t="s">
        <v>8</v>
      </c>
      <c r="D213" s="45" t="s">
        <v>185</v>
      </c>
      <c r="E213" s="45" t="s">
        <v>48</v>
      </c>
      <c r="F213" s="45" t="s">
        <v>460</v>
      </c>
      <c r="G213" s="26">
        <v>2990</v>
      </c>
      <c r="H213" s="26">
        <f t="shared" si="3"/>
        <v>1495</v>
      </c>
      <c r="I213" s="56"/>
      <c r="J213" s="46"/>
      <c r="K213" s="16" t="str">
        <f>HYPERLINK("https://www.loqueleo.com/ar/libro/hay-palabras-que-los-peces-no-entienden","VER")</f>
        <v>VER</v>
      </c>
      <c r="L213" s="56">
        <v>2017</v>
      </c>
    </row>
    <row r="214" spans="1:12" ht="12" customHeight="1">
      <c r="A214" s="45">
        <v>61070143</v>
      </c>
      <c r="B214" s="44">
        <v>9789504646686</v>
      </c>
      <c r="C214" s="44" t="s">
        <v>8</v>
      </c>
      <c r="D214" s="45" t="s">
        <v>186</v>
      </c>
      <c r="E214" s="45" t="s">
        <v>121</v>
      </c>
      <c r="F214" s="45" t="s">
        <v>26</v>
      </c>
      <c r="G214" s="26">
        <v>3100</v>
      </c>
      <c r="H214" s="26">
        <f t="shared" si="3"/>
        <v>1550</v>
      </c>
      <c r="I214" s="56"/>
      <c r="J214" s="46"/>
      <c r="K214" s="16" t="str">
        <f>HYPERLINK("https://www.loqueleo.com/ar/libro/heredera-de-un-secreto","VER")</f>
        <v>VER</v>
      </c>
      <c r="L214" s="56">
        <v>2016</v>
      </c>
    </row>
    <row r="215" spans="1:12" ht="12" customHeight="1">
      <c r="A215" s="45">
        <v>61070088</v>
      </c>
      <c r="B215" s="44">
        <v>9789504647034</v>
      </c>
      <c r="C215" s="44" t="s">
        <v>8</v>
      </c>
      <c r="D215" s="45" t="s">
        <v>187</v>
      </c>
      <c r="E215" s="45" t="s">
        <v>52</v>
      </c>
      <c r="F215" s="45" t="s">
        <v>462</v>
      </c>
      <c r="G215" s="26">
        <v>2990</v>
      </c>
      <c r="H215" s="26">
        <f t="shared" si="3"/>
        <v>1495</v>
      </c>
      <c r="I215" s="56"/>
      <c r="J215" s="46"/>
      <c r="K215" s="16" t="str">
        <f>HYPERLINK("https://www.loqueleo.com/ar/libro/el-heroe","VER")</f>
        <v>VER</v>
      </c>
      <c r="L215" s="56">
        <v>2016</v>
      </c>
    </row>
    <row r="216" spans="1:12" ht="12" customHeight="1">
      <c r="A216" s="45">
        <v>61069228</v>
      </c>
      <c r="B216" s="44">
        <v>9789504643289</v>
      </c>
      <c r="C216" s="44" t="s">
        <v>8</v>
      </c>
      <c r="D216" s="45" t="s">
        <v>188</v>
      </c>
      <c r="E216" s="45" t="s">
        <v>52</v>
      </c>
      <c r="F216" s="45" t="s">
        <v>461</v>
      </c>
      <c r="G216" s="26">
        <v>2400</v>
      </c>
      <c r="H216" s="26">
        <f t="shared" si="3"/>
        <v>1200</v>
      </c>
      <c r="I216" s="56"/>
      <c r="J216" s="46"/>
      <c r="K216" s="16" t="str">
        <f>HYPERLINK("https://www.loqueleo.com/ar/libro/el-hijo-del-superheroe","VER")</f>
        <v>VER</v>
      </c>
      <c r="L216" s="56">
        <v>2016</v>
      </c>
    </row>
    <row r="217" spans="1:12" s="28" customFormat="1" ht="12" customHeight="1">
      <c r="A217" s="45">
        <v>61069979</v>
      </c>
      <c r="B217" s="44">
        <v>9789504646846</v>
      </c>
      <c r="C217" s="44" t="s">
        <v>8</v>
      </c>
      <c r="D217" s="45" t="s">
        <v>189</v>
      </c>
      <c r="E217" s="45" t="s">
        <v>52</v>
      </c>
      <c r="F217" s="45" t="s">
        <v>459</v>
      </c>
      <c r="G217" s="26">
        <v>2600</v>
      </c>
      <c r="H217" s="26">
        <f t="shared" si="3"/>
        <v>1300</v>
      </c>
      <c r="I217" s="56"/>
      <c r="J217" s="46" t="s">
        <v>348</v>
      </c>
      <c r="K217" s="16" t="str">
        <f>HYPERLINK("https://www.loqueleo.com/ar/libro/historia-de-flechazo-y-la-nube","VER")</f>
        <v>VER</v>
      </c>
      <c r="L217" s="56">
        <v>2017</v>
      </c>
    </row>
    <row r="218" spans="1:12" ht="12" customHeight="1">
      <c r="A218" s="21">
        <v>61093874</v>
      </c>
      <c r="B218" s="21">
        <v>9789504662051</v>
      </c>
      <c r="C218" s="21" t="s">
        <v>8</v>
      </c>
      <c r="D218" s="22" t="s">
        <v>444</v>
      </c>
      <c r="E218" s="23" t="s">
        <v>422</v>
      </c>
      <c r="F218" s="24" t="s">
        <v>462</v>
      </c>
      <c r="G218" s="25">
        <v>2400</v>
      </c>
      <c r="H218" s="25">
        <f t="shared" si="3"/>
        <v>1200</v>
      </c>
      <c r="I218" s="30"/>
      <c r="J218" s="20" t="s">
        <v>497</v>
      </c>
      <c r="K218" s="29" t="s">
        <v>439</v>
      </c>
      <c r="L218" s="30">
        <v>2021</v>
      </c>
    </row>
    <row r="219" spans="1:12" ht="12" customHeight="1">
      <c r="A219" s="45">
        <v>61070119</v>
      </c>
      <c r="B219" s="44">
        <v>9789504644767</v>
      </c>
      <c r="C219" s="44" t="s">
        <v>8</v>
      </c>
      <c r="D219" s="45" t="s">
        <v>190</v>
      </c>
      <c r="E219" s="45" t="s">
        <v>14</v>
      </c>
      <c r="F219" s="45" t="s">
        <v>461</v>
      </c>
      <c r="G219" s="26">
        <v>2200</v>
      </c>
      <c r="H219" s="26">
        <f t="shared" si="3"/>
        <v>1100</v>
      </c>
      <c r="I219" s="56"/>
      <c r="J219" s="46"/>
      <c r="K219" s="16" t="str">
        <f>HYPERLINK("https://www.loqueleo.com/ar/libro/historia-de-un-primer-fin-de-semana","VER")</f>
        <v>VER</v>
      </c>
      <c r="L219" s="56">
        <v>2016</v>
      </c>
    </row>
    <row r="220" spans="1:12" ht="12" customHeight="1">
      <c r="A220" s="45">
        <v>61070144</v>
      </c>
      <c r="B220" s="44">
        <v>9789504646532</v>
      </c>
      <c r="C220" s="44" t="s">
        <v>8</v>
      </c>
      <c r="D220" s="45" t="s">
        <v>191</v>
      </c>
      <c r="E220" s="45" t="s">
        <v>192</v>
      </c>
      <c r="F220" s="45" t="s">
        <v>26</v>
      </c>
      <c r="G220" s="26">
        <v>5900</v>
      </c>
      <c r="H220" s="26">
        <f t="shared" si="3"/>
        <v>2950</v>
      </c>
      <c r="I220" s="56"/>
      <c r="J220" s="46"/>
      <c r="K220" s="16" t="str">
        <f>HYPERLINK("https://www.loqueleo.com/ar/libro/la-historia-interminable","VER")</f>
        <v>VER</v>
      </c>
      <c r="L220" s="56">
        <v>2016</v>
      </c>
    </row>
    <row r="221" spans="1:12" ht="12" customHeight="1">
      <c r="A221" s="45">
        <v>61070129</v>
      </c>
      <c r="B221" s="44">
        <v>9789504647072</v>
      </c>
      <c r="C221" s="44" t="s">
        <v>8</v>
      </c>
      <c r="D221" s="45" t="s">
        <v>193</v>
      </c>
      <c r="E221" s="45" t="s">
        <v>23</v>
      </c>
      <c r="F221" s="45" t="s">
        <v>462</v>
      </c>
      <c r="G221" s="26">
        <v>2990</v>
      </c>
      <c r="H221" s="26">
        <f t="shared" si="3"/>
        <v>1495</v>
      </c>
      <c r="I221" s="56"/>
      <c r="J221" s="46"/>
      <c r="K221" s="16" t="str">
        <f>HYPERLINK("https://www.loqueleo.com/ar/libro/historias-de-los-senores-moc-y-poc","VER")</f>
        <v>VER</v>
      </c>
      <c r="L221" s="56">
        <v>2016</v>
      </c>
    </row>
    <row r="222" spans="1:12" ht="12" customHeight="1">
      <c r="A222" s="21">
        <v>61100328</v>
      </c>
      <c r="B222" s="21">
        <v>9789504669586</v>
      </c>
      <c r="C222" s="21" t="s">
        <v>8</v>
      </c>
      <c r="D222" s="22" t="s">
        <v>524</v>
      </c>
      <c r="E222" s="23" t="s">
        <v>30</v>
      </c>
      <c r="F222" s="24" t="s">
        <v>462</v>
      </c>
      <c r="G222" s="25">
        <v>2990</v>
      </c>
      <c r="H222" s="25">
        <f t="shared" si="3"/>
        <v>1495</v>
      </c>
      <c r="I222" s="30"/>
      <c r="J222" s="47" t="s">
        <v>494</v>
      </c>
      <c r="K222" s="29" t="s">
        <v>439</v>
      </c>
      <c r="L222" s="30">
        <v>2022</v>
      </c>
    </row>
    <row r="223" spans="1:12" ht="12" customHeight="1">
      <c r="A223" s="45">
        <v>61069219</v>
      </c>
      <c r="B223" s="44">
        <v>9789504643531</v>
      </c>
      <c r="C223" s="44" t="s">
        <v>8</v>
      </c>
      <c r="D223" s="45" t="s">
        <v>194</v>
      </c>
      <c r="E223" s="45" t="s">
        <v>48</v>
      </c>
      <c r="F223" s="45" t="s">
        <v>462</v>
      </c>
      <c r="G223" s="26">
        <v>2400</v>
      </c>
      <c r="H223" s="26">
        <f t="shared" si="3"/>
        <v>1200</v>
      </c>
      <c r="I223" s="56"/>
      <c r="J223" s="46"/>
      <c r="K223" s="16" t="str">
        <f>HYPERLINK("https://www.loqueleo.com/ar/libro/hola-andres-soy-maria-otra-vez-","VER")</f>
        <v>VER</v>
      </c>
      <c r="L223" s="56">
        <v>2016</v>
      </c>
    </row>
    <row r="224" spans="1:12" ht="12" customHeight="1">
      <c r="A224" s="45">
        <v>61075920</v>
      </c>
      <c r="B224" s="44">
        <v>9789504652373</v>
      </c>
      <c r="C224" s="44" t="s">
        <v>8</v>
      </c>
      <c r="D224" s="45" t="s">
        <v>195</v>
      </c>
      <c r="E224" s="45" t="s">
        <v>86</v>
      </c>
      <c r="F224" s="45" t="s">
        <v>461</v>
      </c>
      <c r="G224" s="26">
        <v>2400</v>
      </c>
      <c r="H224" s="26">
        <f t="shared" si="3"/>
        <v>1200</v>
      </c>
      <c r="I224" s="56"/>
      <c r="J224" s="46"/>
      <c r="K224" s="16" t="str">
        <f>HYPERLINK("https://www.loqueleo.com/ar/libro/el-hombre-de-fuego","VER")</f>
        <v>VER</v>
      </c>
      <c r="L224" s="56">
        <v>2017</v>
      </c>
    </row>
    <row r="225" spans="1:12" ht="12" customHeight="1">
      <c r="A225" s="45">
        <v>61071838</v>
      </c>
      <c r="B225" s="44">
        <v>9789504648239</v>
      </c>
      <c r="C225" s="44" t="s">
        <v>8</v>
      </c>
      <c r="D225" s="45" t="s">
        <v>525</v>
      </c>
      <c r="E225" s="45" t="s">
        <v>526</v>
      </c>
      <c r="F225" s="45" t="s">
        <v>26</v>
      </c>
      <c r="G225" s="26">
        <v>2890</v>
      </c>
      <c r="H225" s="26">
        <f t="shared" si="3"/>
        <v>1445</v>
      </c>
      <c r="I225" s="56"/>
      <c r="J225" s="46"/>
      <c r="K225" s="16" t="str">
        <f>HYPERLINK("https://www.loqueleo.com/ar/libro/el-hombre-invisible","VER")</f>
        <v>VER</v>
      </c>
      <c r="L225" s="56">
        <v>2017</v>
      </c>
    </row>
    <row r="226" spans="1:12" ht="12" customHeight="1">
      <c r="A226" s="45">
        <v>61073765</v>
      </c>
      <c r="B226" s="44">
        <v>9789504652366</v>
      </c>
      <c r="C226" s="44" t="s">
        <v>8</v>
      </c>
      <c r="D226" s="45" t="s">
        <v>196</v>
      </c>
      <c r="E226" s="45" t="s">
        <v>62</v>
      </c>
      <c r="F226" s="45" t="s">
        <v>464</v>
      </c>
      <c r="G226" s="26">
        <v>2600</v>
      </c>
      <c r="H226" s="26">
        <f t="shared" si="3"/>
        <v>1300</v>
      </c>
      <c r="I226" s="56"/>
      <c r="J226" s="46"/>
      <c r="K226" s="16" t="str">
        <f>HYPERLINK("https://www.loqueleo.com/ar/libro/el-hombre-que-piso-su-sombra","VER")</f>
        <v>VER</v>
      </c>
      <c r="L226" s="56">
        <v>2017</v>
      </c>
    </row>
    <row r="227" spans="1:12" ht="12" customHeight="1">
      <c r="A227" s="45">
        <v>61068404</v>
      </c>
      <c r="B227" s="44">
        <v>9789504644828</v>
      </c>
      <c r="C227" s="44" t="s">
        <v>8</v>
      </c>
      <c r="D227" s="45" t="s">
        <v>197</v>
      </c>
      <c r="E227" s="45" t="s">
        <v>52</v>
      </c>
      <c r="F227" s="45" t="s">
        <v>460</v>
      </c>
      <c r="G227" s="26">
        <v>2990</v>
      </c>
      <c r="H227" s="26">
        <f t="shared" si="3"/>
        <v>1495</v>
      </c>
      <c r="I227" s="56"/>
      <c r="J227" s="46"/>
      <c r="K227" s="16" t="str">
        <f>HYPERLINK("https://www.loqueleo.com/ar/libro/el-hombre-sin-cabeza","VER")</f>
        <v>VER</v>
      </c>
      <c r="L227" s="56">
        <v>2016</v>
      </c>
    </row>
    <row r="228" spans="1:12" ht="12" customHeight="1">
      <c r="A228" s="45">
        <v>61069209</v>
      </c>
      <c r="B228" s="44">
        <v>9789504643050</v>
      </c>
      <c r="C228" s="44" t="s">
        <v>8</v>
      </c>
      <c r="D228" s="45" t="s">
        <v>198</v>
      </c>
      <c r="E228" s="45" t="s">
        <v>96</v>
      </c>
      <c r="F228" s="45" t="s">
        <v>459</v>
      </c>
      <c r="G228" s="26">
        <v>2600</v>
      </c>
      <c r="H228" s="26">
        <f t="shared" si="3"/>
        <v>1300</v>
      </c>
      <c r="I228" s="56"/>
      <c r="J228" s="46"/>
      <c r="K228" s="16" t="str">
        <f>HYPERLINK("https://www.loqueleo.com/ar/libro/el-hombrecito-verde-y-su-pajaro","VER")</f>
        <v>VER</v>
      </c>
      <c r="L228" s="56">
        <v>2015</v>
      </c>
    </row>
    <row r="229" spans="1:12" ht="12" customHeight="1">
      <c r="A229" s="21">
        <v>61093892</v>
      </c>
      <c r="B229" s="21">
        <v>9789504662181</v>
      </c>
      <c r="C229" s="21" t="s">
        <v>8</v>
      </c>
      <c r="D229" s="22" t="s">
        <v>446</v>
      </c>
      <c r="E229" s="23" t="s">
        <v>56</v>
      </c>
      <c r="F229" s="24" t="s">
        <v>26</v>
      </c>
      <c r="G229" s="25">
        <v>3100</v>
      </c>
      <c r="H229" s="25">
        <f t="shared" si="3"/>
        <v>1550</v>
      </c>
      <c r="I229" s="30"/>
      <c r="J229" s="20" t="s">
        <v>497</v>
      </c>
      <c r="K229" s="29" t="s">
        <v>439</v>
      </c>
      <c r="L229" s="30">
        <v>2021</v>
      </c>
    </row>
    <row r="230" spans="1:12" ht="12" customHeight="1">
      <c r="A230" s="45">
        <v>61086682</v>
      </c>
      <c r="B230" s="44">
        <v>9789504657972</v>
      </c>
      <c r="C230" s="44" t="s">
        <v>8</v>
      </c>
      <c r="D230" s="45" t="s">
        <v>402</v>
      </c>
      <c r="E230" s="45" t="s">
        <v>66</v>
      </c>
      <c r="F230" s="45" t="s">
        <v>462</v>
      </c>
      <c r="G230" s="26">
        <v>2400</v>
      </c>
      <c r="H230" s="26">
        <f t="shared" si="3"/>
        <v>1200</v>
      </c>
      <c r="I230" s="56"/>
      <c r="J230" s="46"/>
      <c r="K230" s="16" t="str">
        <f>HYPERLINK("https://www.loqueleo.com/ar/libro/las-iguales","VER")</f>
        <v>VER</v>
      </c>
      <c r="L230" s="56">
        <v>2019</v>
      </c>
    </row>
    <row r="231" spans="1:12" ht="12" customHeight="1">
      <c r="A231" s="45">
        <v>61070084</v>
      </c>
      <c r="B231" s="44">
        <v>9789504645832</v>
      </c>
      <c r="C231" s="44" t="s">
        <v>8</v>
      </c>
      <c r="D231" s="45" t="s">
        <v>199</v>
      </c>
      <c r="E231" s="45" t="s">
        <v>52</v>
      </c>
      <c r="F231" s="45" t="s">
        <v>462</v>
      </c>
      <c r="G231" s="26">
        <v>2990</v>
      </c>
      <c r="H231" s="26">
        <f t="shared" si="3"/>
        <v>1495</v>
      </c>
      <c r="I231" s="56"/>
      <c r="J231" s="46"/>
      <c r="K231" s="16" t="str">
        <f>HYPERLINK("https://www.loqueleo.com/ar/libro/el-insoportable","VER")</f>
        <v>VER</v>
      </c>
      <c r="L231" s="56">
        <v>2016</v>
      </c>
    </row>
    <row r="232" spans="1:12" ht="12" customHeight="1">
      <c r="A232" s="45">
        <v>61070059</v>
      </c>
      <c r="B232" s="44">
        <v>9789504647102</v>
      </c>
      <c r="C232" s="44" t="s">
        <v>8</v>
      </c>
      <c r="D232" s="45" t="s">
        <v>200</v>
      </c>
      <c r="E232" s="45" t="s">
        <v>52</v>
      </c>
      <c r="F232" s="45" t="s">
        <v>462</v>
      </c>
      <c r="G232" s="26">
        <v>2990</v>
      </c>
      <c r="H232" s="26">
        <f t="shared" si="3"/>
        <v>1495</v>
      </c>
      <c r="I232" s="56"/>
      <c r="J232" s="46"/>
      <c r="K232" s="16" t="str">
        <f>HYPERLINK("https://www.loqueleo.com/ar/libro/la-invasion","VER")</f>
        <v>VER</v>
      </c>
      <c r="L232" s="56">
        <v>2016</v>
      </c>
    </row>
    <row r="233" spans="1:12" ht="12" customHeight="1">
      <c r="A233" s="45">
        <v>61069203</v>
      </c>
      <c r="B233" s="44">
        <v>9789504643876</v>
      </c>
      <c r="C233" s="44" t="s">
        <v>8</v>
      </c>
      <c r="D233" s="45" t="s">
        <v>201</v>
      </c>
      <c r="E233" s="45" t="s">
        <v>56</v>
      </c>
      <c r="F233" s="45" t="s">
        <v>26</v>
      </c>
      <c r="G233" s="26">
        <v>3100</v>
      </c>
      <c r="H233" s="26">
        <f t="shared" si="3"/>
        <v>1550</v>
      </c>
      <c r="I233" s="56"/>
      <c r="J233" s="46"/>
      <c r="K233" s="16" t="str">
        <f>HYPERLINK("https://www.loqueleo.com/ar/libro/el-inventor-de-juegos","VER")</f>
        <v>VER</v>
      </c>
      <c r="L233" s="56">
        <v>2016</v>
      </c>
    </row>
    <row r="234" spans="1:12" ht="12" customHeight="1">
      <c r="A234" s="45">
        <v>61071767</v>
      </c>
      <c r="B234" s="44">
        <v>9789504648673</v>
      </c>
      <c r="C234" s="44" t="s">
        <v>8</v>
      </c>
      <c r="D234" s="45" t="s">
        <v>202</v>
      </c>
      <c r="E234" s="54" t="s">
        <v>16</v>
      </c>
      <c r="F234" s="45" t="s">
        <v>460</v>
      </c>
      <c r="G234" s="26">
        <v>2990</v>
      </c>
      <c r="H234" s="26">
        <f t="shared" si="3"/>
        <v>1495</v>
      </c>
      <c r="I234" s="56"/>
      <c r="J234" s="46"/>
      <c r="K234" s="16" t="str">
        <f>HYPERLINK("https://www.loqueleo.com/ar/libro/el-investigador-gimenez","VER")</f>
        <v>VER</v>
      </c>
      <c r="L234" s="56">
        <v>2016</v>
      </c>
    </row>
    <row r="235" spans="1:12" ht="12" customHeight="1">
      <c r="A235" s="45">
        <v>61072441</v>
      </c>
      <c r="B235" s="44">
        <v>9789504649809</v>
      </c>
      <c r="C235" s="44" t="s">
        <v>8</v>
      </c>
      <c r="D235" s="45" t="s">
        <v>203</v>
      </c>
      <c r="E235" s="45" t="s">
        <v>204</v>
      </c>
      <c r="F235" s="45" t="s">
        <v>462</v>
      </c>
      <c r="G235" s="26">
        <v>2400</v>
      </c>
      <c r="H235" s="26">
        <f t="shared" si="3"/>
        <v>1200</v>
      </c>
      <c r="I235" s="56"/>
      <c r="J235" s="46"/>
      <c r="K235" s="16" t="str">
        <f>HYPERLINK("https://www.loqueleo.com/ar/libro/el-invierno-de-los-erizos","VER")</f>
        <v>VER</v>
      </c>
      <c r="L235" s="56">
        <v>2016</v>
      </c>
    </row>
    <row r="236" spans="1:12" ht="12" customHeight="1">
      <c r="A236" s="45">
        <v>61073761</v>
      </c>
      <c r="B236" s="44">
        <v>9789504651949</v>
      </c>
      <c r="C236" s="44" t="s">
        <v>8</v>
      </c>
      <c r="D236" s="45" t="s">
        <v>205</v>
      </c>
      <c r="E236" s="45" t="s">
        <v>30</v>
      </c>
      <c r="F236" s="45" t="s">
        <v>465</v>
      </c>
      <c r="G236" s="26">
        <v>2990</v>
      </c>
      <c r="H236" s="26">
        <f t="shared" si="3"/>
        <v>1495</v>
      </c>
      <c r="I236" s="56"/>
      <c r="J236" s="46"/>
      <c r="K236" s="16" t="str">
        <f>HYPERLINK("https://www.loqueleo.com/ar/libro/irulana-y-el-ogronte","VER")</f>
        <v>VER</v>
      </c>
      <c r="L236" s="56">
        <v>2017</v>
      </c>
    </row>
    <row r="237" spans="1:12" s="7" customFormat="1" ht="12" customHeight="1">
      <c r="A237" s="45">
        <v>61071847</v>
      </c>
      <c r="B237" s="44">
        <v>9789504648222</v>
      </c>
      <c r="C237" s="44" t="s">
        <v>8</v>
      </c>
      <c r="D237" s="45" t="s">
        <v>527</v>
      </c>
      <c r="E237" s="45" t="s">
        <v>134</v>
      </c>
      <c r="F237" s="45" t="s">
        <v>26</v>
      </c>
      <c r="G237" s="26">
        <v>2890</v>
      </c>
      <c r="H237" s="26">
        <f t="shared" si="3"/>
        <v>1445</v>
      </c>
      <c r="I237" s="56"/>
      <c r="J237" s="46"/>
      <c r="K237" s="16" t="str">
        <f>HYPERLINK("https://www.loqueleo.com/ar/libro/la-isla-del-tesoro","VER")</f>
        <v>VER</v>
      </c>
      <c r="L237" s="56">
        <v>2016</v>
      </c>
    </row>
    <row r="238" spans="1:12" s="7" customFormat="1" ht="12" customHeight="1">
      <c r="A238" s="45">
        <v>61069998</v>
      </c>
      <c r="B238" s="44">
        <v>9789504646181</v>
      </c>
      <c r="C238" s="44" t="s">
        <v>8</v>
      </c>
      <c r="D238" s="45" t="s">
        <v>206</v>
      </c>
      <c r="E238" s="54" t="s">
        <v>58</v>
      </c>
      <c r="F238" s="45" t="s">
        <v>460</v>
      </c>
      <c r="G238" s="26">
        <v>2400</v>
      </c>
      <c r="H238" s="26">
        <f t="shared" si="3"/>
        <v>1200</v>
      </c>
      <c r="I238" s="56"/>
      <c r="J238" s="46"/>
      <c r="K238" s="16" t="str">
        <f>HYPERLINK("https://www.loqueleo.com/ar/libro/la-isla-sin-tesoro","VER")</f>
        <v>VER</v>
      </c>
      <c r="L238" s="56">
        <v>2016</v>
      </c>
    </row>
    <row r="239" spans="1:12" ht="12" customHeight="1">
      <c r="A239" s="45">
        <v>61084737</v>
      </c>
      <c r="B239" s="44">
        <v>9789504656203</v>
      </c>
      <c r="C239" s="44" t="s">
        <v>8</v>
      </c>
      <c r="D239" s="45" t="s">
        <v>386</v>
      </c>
      <c r="E239" s="45" t="s">
        <v>19</v>
      </c>
      <c r="F239" s="45" t="s">
        <v>460</v>
      </c>
      <c r="G239" s="26">
        <v>2990</v>
      </c>
      <c r="H239" s="26">
        <f t="shared" si="3"/>
        <v>1495</v>
      </c>
      <c r="I239" s="56"/>
      <c r="J239" s="46"/>
      <c r="K239" s="16" t="str">
        <f>HYPERLINK("https://www.loqueleo.com/ar/libro/james-y-el-melocoton-gigante","VER")</f>
        <v>VER</v>
      </c>
      <c r="L239" s="56">
        <v>2018</v>
      </c>
    </row>
    <row r="240" spans="1:12" ht="12" customHeight="1">
      <c r="A240" s="45">
        <v>61071769</v>
      </c>
      <c r="B240" s="44">
        <v>9789504648680</v>
      </c>
      <c r="C240" s="44" t="s">
        <v>8</v>
      </c>
      <c r="D240" s="45" t="s">
        <v>207</v>
      </c>
      <c r="E240" s="45" t="s">
        <v>208</v>
      </c>
      <c r="F240" s="45" t="s">
        <v>460</v>
      </c>
      <c r="G240" s="26">
        <v>2400</v>
      </c>
      <c r="H240" s="26">
        <f t="shared" si="3"/>
        <v>1200</v>
      </c>
      <c r="I240" s="56"/>
      <c r="J240" s="46"/>
      <c r="K240" s="16" t="str">
        <f>HYPERLINK("https://www.loqueleo.com/ar/libro/el-jefe-de-la-manada","VER")</f>
        <v>VER</v>
      </c>
      <c r="L240" s="56">
        <v>2016</v>
      </c>
    </row>
    <row r="241" spans="1:12" ht="12" customHeight="1">
      <c r="A241" s="45">
        <v>61070096</v>
      </c>
      <c r="B241" s="44">
        <v>9789504644422</v>
      </c>
      <c r="C241" s="44" t="s">
        <v>8</v>
      </c>
      <c r="D241" s="45" t="s">
        <v>209</v>
      </c>
      <c r="E241" s="45" t="s">
        <v>19</v>
      </c>
      <c r="F241" s="45" t="s">
        <v>461</v>
      </c>
      <c r="G241" s="26">
        <v>2200</v>
      </c>
      <c r="H241" s="26">
        <f t="shared" si="3"/>
        <v>1100</v>
      </c>
      <c r="I241" s="56"/>
      <c r="J241" s="46"/>
      <c r="K241" s="16" t="str">
        <f>HYPERLINK("https://www.loqueleo.com/ar/libro/la-jirafa-el-pelicano-y-el-mono","VER")</f>
        <v>VER</v>
      </c>
      <c r="L241" s="56">
        <v>2016</v>
      </c>
    </row>
    <row r="242" spans="1:12" ht="12" customHeight="1">
      <c r="A242" s="45">
        <v>61070121</v>
      </c>
      <c r="B242" s="44">
        <v>9789504645146</v>
      </c>
      <c r="C242" s="44" t="s">
        <v>8</v>
      </c>
      <c r="D242" s="45" t="s">
        <v>210</v>
      </c>
      <c r="E242" s="45" t="s">
        <v>43</v>
      </c>
      <c r="F242" s="45" t="s">
        <v>462</v>
      </c>
      <c r="G242" s="26">
        <v>2990</v>
      </c>
      <c r="H242" s="26">
        <f t="shared" si="3"/>
        <v>1495</v>
      </c>
      <c r="I242" s="56"/>
      <c r="J242" s="46"/>
      <c r="K242" s="16" t="str">
        <f>HYPERLINK("https://www.loqueleo.com/ar/libro/jose-de-san-martin","VER")</f>
        <v>VER</v>
      </c>
      <c r="L242" s="56">
        <v>2016</v>
      </c>
    </row>
    <row r="243" spans="1:12" ht="12" customHeight="1">
      <c r="A243" s="45">
        <v>61069878</v>
      </c>
      <c r="B243" s="44">
        <v>9789504647744</v>
      </c>
      <c r="C243" s="44" t="s">
        <v>8</v>
      </c>
      <c r="D243" s="45" t="s">
        <v>211</v>
      </c>
      <c r="E243" s="45" t="s">
        <v>43</v>
      </c>
      <c r="F243" s="45" t="s">
        <v>460</v>
      </c>
      <c r="G243" s="26">
        <v>2400</v>
      </c>
      <c r="H243" s="26">
        <f t="shared" si="3"/>
        <v>1200</v>
      </c>
      <c r="I243" s="56"/>
      <c r="J243" s="46"/>
      <c r="K243" s="16" t="str">
        <f>HYPERLINK("https://www.loqueleo.com/ar/libro/juana-la-intrepida-capitana","VER")</f>
        <v>VER</v>
      </c>
      <c r="L243" s="56">
        <v>2016</v>
      </c>
    </row>
    <row r="244" spans="1:12" ht="12" customHeight="1">
      <c r="A244" s="45">
        <v>61072274</v>
      </c>
      <c r="B244" s="44">
        <v>9789504650355</v>
      </c>
      <c r="C244" s="44" t="s">
        <v>8</v>
      </c>
      <c r="D244" s="45" t="s">
        <v>528</v>
      </c>
      <c r="E244" s="45" t="s">
        <v>30</v>
      </c>
      <c r="F244" s="45" t="s">
        <v>463</v>
      </c>
      <c r="G244" s="26">
        <v>2700</v>
      </c>
      <c r="H244" s="26">
        <f t="shared" si="3"/>
        <v>1350</v>
      </c>
      <c r="I244" s="56"/>
      <c r="J244" s="46"/>
      <c r="K244" s="16" t="str">
        <f>HYPERLINK("https://www.loqueleo.com/ar/libro/juanito-y-la-luna","VER")</f>
        <v>VER</v>
      </c>
      <c r="L244" s="56">
        <v>2016</v>
      </c>
    </row>
    <row r="245" spans="1:12" ht="12" customHeight="1">
      <c r="A245" s="45">
        <v>61070506</v>
      </c>
      <c r="B245" s="44">
        <v>9789504649090</v>
      </c>
      <c r="C245" s="44" t="s">
        <v>8</v>
      </c>
      <c r="D245" s="45" t="s">
        <v>212</v>
      </c>
      <c r="E245" s="45" t="s">
        <v>56</v>
      </c>
      <c r="F245" s="45" t="s">
        <v>26</v>
      </c>
      <c r="G245" s="26">
        <v>3100</v>
      </c>
      <c r="H245" s="26">
        <f t="shared" si="3"/>
        <v>1550</v>
      </c>
      <c r="I245" s="56"/>
      <c r="J245" s="46"/>
      <c r="K245" s="16" t="str">
        <f>HYPERLINK("https://www.loqueleo.com/ar/libro/el-juego-de-la-nieve","VER")</f>
        <v>VER</v>
      </c>
      <c r="L245" s="56">
        <v>2016</v>
      </c>
    </row>
    <row r="246" spans="1:12" s="7" customFormat="1" ht="12" customHeight="1">
      <c r="A246" s="45">
        <v>61069204</v>
      </c>
      <c r="B246" s="44">
        <v>9789504643883</v>
      </c>
      <c r="C246" s="44" t="s">
        <v>8</v>
      </c>
      <c r="D246" s="45" t="s">
        <v>213</v>
      </c>
      <c r="E246" s="45" t="s">
        <v>56</v>
      </c>
      <c r="F246" s="45" t="s">
        <v>26</v>
      </c>
      <c r="G246" s="26">
        <v>3100</v>
      </c>
      <c r="H246" s="26">
        <f t="shared" si="3"/>
        <v>1550</v>
      </c>
      <c r="I246" s="56"/>
      <c r="J246" s="46"/>
      <c r="K246" s="16" t="str">
        <f>HYPERLINK("https://www.loqueleo.com/ar/libro/el-juego-del-laberinto","VER")</f>
        <v>VER</v>
      </c>
      <c r="L246" s="56">
        <v>2015</v>
      </c>
    </row>
    <row r="247" spans="1:12" ht="12" customHeight="1">
      <c r="A247" s="45">
        <v>61070118</v>
      </c>
      <c r="B247" s="44">
        <v>9789504646976</v>
      </c>
      <c r="C247" s="44" t="s">
        <v>8</v>
      </c>
      <c r="D247" s="45" t="s">
        <v>214</v>
      </c>
      <c r="E247" s="45" t="s">
        <v>58</v>
      </c>
      <c r="F247" s="45" t="s">
        <v>462</v>
      </c>
      <c r="G247" s="26">
        <v>2990</v>
      </c>
      <c r="H247" s="26">
        <f t="shared" si="3"/>
        <v>1495</v>
      </c>
      <c r="I247" s="56"/>
      <c r="J247" s="46"/>
      <c r="K247" s="16" t="str">
        <f>HYPERLINK("https://www.loqueleo.com/ar/libro/juicio-al-raton-perez","VER")</f>
        <v>VER</v>
      </c>
      <c r="L247" s="56">
        <v>2017</v>
      </c>
    </row>
    <row r="248" spans="1:12" s="28" customFormat="1" ht="12" customHeight="1">
      <c r="A248" s="21">
        <v>61096932</v>
      </c>
      <c r="B248" s="21">
        <v>9789504666967</v>
      </c>
      <c r="C248" s="21" t="s">
        <v>8</v>
      </c>
      <c r="D248" s="22" t="s">
        <v>468</v>
      </c>
      <c r="E248" s="23" t="s">
        <v>421</v>
      </c>
      <c r="F248" s="24" t="s">
        <v>462</v>
      </c>
      <c r="G248" s="25">
        <v>2990</v>
      </c>
      <c r="H248" s="25">
        <f t="shared" si="3"/>
        <v>1495</v>
      </c>
      <c r="I248" s="30"/>
      <c r="J248" s="20" t="s">
        <v>484</v>
      </c>
      <c r="K248" s="29" t="s">
        <v>439</v>
      </c>
      <c r="L248" s="30">
        <v>2022</v>
      </c>
    </row>
    <row r="249" spans="1:12" s="6" customFormat="1" ht="12" customHeight="1">
      <c r="A249" s="21">
        <v>61101638</v>
      </c>
      <c r="B249" s="21">
        <v>9789504671152</v>
      </c>
      <c r="C249" s="21" t="s">
        <v>8</v>
      </c>
      <c r="D249" s="22" t="s">
        <v>529</v>
      </c>
      <c r="E249" s="23" t="s">
        <v>14</v>
      </c>
      <c r="F249" s="24" t="s">
        <v>462</v>
      </c>
      <c r="G249" s="25">
        <v>2990</v>
      </c>
      <c r="H249" s="25">
        <f t="shared" si="3"/>
        <v>1495</v>
      </c>
      <c r="I249" s="30"/>
      <c r="J249" s="47" t="s">
        <v>508</v>
      </c>
      <c r="K249" s="52" t="s">
        <v>439</v>
      </c>
      <c r="L249" s="30">
        <v>2023</v>
      </c>
    </row>
    <row r="250" spans="1:12" ht="12" customHeight="1">
      <c r="A250" s="45">
        <v>61071802</v>
      </c>
      <c r="B250" s="44">
        <v>9789504647805</v>
      </c>
      <c r="C250" s="44" t="s">
        <v>8</v>
      </c>
      <c r="D250" s="45" t="s">
        <v>215</v>
      </c>
      <c r="E250" s="45" t="s">
        <v>52</v>
      </c>
      <c r="F250" s="45" t="s">
        <v>465</v>
      </c>
      <c r="G250" s="26">
        <v>2990</v>
      </c>
      <c r="H250" s="26">
        <f t="shared" si="3"/>
        <v>1495</v>
      </c>
      <c r="I250" s="56"/>
      <c r="J250" s="46"/>
      <c r="K250" s="16" t="str">
        <f>HYPERLINK("https://www.loqueleo.com/ar/libro/a-la-escuela-con-cinthia-scoch","VER")</f>
        <v>VER</v>
      </c>
      <c r="L250" s="56">
        <v>2016</v>
      </c>
    </row>
    <row r="251" spans="1:12" ht="12" customHeight="1">
      <c r="A251" s="21">
        <v>61101555</v>
      </c>
      <c r="B251" s="21">
        <v>9789504671169</v>
      </c>
      <c r="C251" s="21" t="s">
        <v>8</v>
      </c>
      <c r="D251" s="22" t="s">
        <v>530</v>
      </c>
      <c r="E251" s="23" t="s">
        <v>222</v>
      </c>
      <c r="F251" s="24" t="s">
        <v>462</v>
      </c>
      <c r="G251" s="25">
        <v>2990</v>
      </c>
      <c r="H251" s="25">
        <f t="shared" si="3"/>
        <v>1495</v>
      </c>
      <c r="I251" s="30"/>
      <c r="J251" s="47" t="s">
        <v>508</v>
      </c>
      <c r="K251" s="52" t="s">
        <v>439</v>
      </c>
      <c r="L251" s="30">
        <v>2023</v>
      </c>
    </row>
    <row r="252" spans="1:12" s="6" customFormat="1" ht="12" customHeight="1">
      <c r="A252" s="21">
        <v>61097113</v>
      </c>
      <c r="B252" s="21">
        <v>9789504665878</v>
      </c>
      <c r="C252" s="21" t="s">
        <v>8</v>
      </c>
      <c r="D252" s="22" t="s">
        <v>457</v>
      </c>
      <c r="E252" s="23" t="s">
        <v>222</v>
      </c>
      <c r="F252" s="24" t="s">
        <v>461</v>
      </c>
      <c r="G252" s="25">
        <v>2200</v>
      </c>
      <c r="H252" s="25">
        <f t="shared" si="3"/>
        <v>1100</v>
      </c>
      <c r="I252" s="30"/>
      <c r="J252" s="20" t="s">
        <v>497</v>
      </c>
      <c r="K252" s="52" t="s">
        <v>439</v>
      </c>
      <c r="L252" s="30">
        <v>2021</v>
      </c>
    </row>
    <row r="253" spans="1:12" ht="12" customHeight="1">
      <c r="A253" s="45">
        <v>61070078</v>
      </c>
      <c r="B253" s="44">
        <v>9789504645177</v>
      </c>
      <c r="C253" s="44" t="s">
        <v>8</v>
      </c>
      <c r="D253" s="45" t="s">
        <v>216</v>
      </c>
      <c r="E253" s="45" t="s">
        <v>23</v>
      </c>
      <c r="F253" s="45" t="s">
        <v>462</v>
      </c>
      <c r="G253" s="26">
        <v>2990</v>
      </c>
      <c r="H253" s="26">
        <f t="shared" si="3"/>
        <v>1495</v>
      </c>
      <c r="I253" s="56"/>
      <c r="J253" s="46"/>
      <c r="K253" s="16" t="str">
        <f>HYPERLINK("https://www.loqueleo.com/ar/libro/lejos-de-frin","VER")</f>
        <v>VER</v>
      </c>
      <c r="L253" s="56">
        <v>2015</v>
      </c>
    </row>
    <row r="254" spans="1:12" ht="12" customHeight="1">
      <c r="A254" s="45">
        <v>61070053</v>
      </c>
      <c r="B254" s="44">
        <v>9789504644583</v>
      </c>
      <c r="C254" s="44" t="s">
        <v>8</v>
      </c>
      <c r="D254" s="45" t="s">
        <v>217</v>
      </c>
      <c r="E254" s="45" t="s">
        <v>62</v>
      </c>
      <c r="F254" s="45" t="s">
        <v>461</v>
      </c>
      <c r="G254" s="26">
        <v>2200</v>
      </c>
      <c r="H254" s="26">
        <f t="shared" si="3"/>
        <v>1100</v>
      </c>
      <c r="I254" s="56"/>
      <c r="J254" s="46"/>
      <c r="K254" s="16" t="str">
        <f>HYPERLINK("https://www.loqueleo.com/ar/libro/la-leyenda-del-bicho-colorado","VER")</f>
        <v>VER</v>
      </c>
      <c r="L254" s="56">
        <v>2016</v>
      </c>
    </row>
    <row r="255" spans="1:12" ht="12" customHeight="1">
      <c r="A255" s="45">
        <v>61070077</v>
      </c>
      <c r="B255" s="44">
        <v>9789504645597</v>
      </c>
      <c r="C255" s="44" t="s">
        <v>8</v>
      </c>
      <c r="D255" s="45" t="s">
        <v>531</v>
      </c>
      <c r="E255" s="45" t="s">
        <v>71</v>
      </c>
      <c r="F255" s="45" t="s">
        <v>462</v>
      </c>
      <c r="G255" s="26">
        <v>2400</v>
      </c>
      <c r="H255" s="26">
        <f t="shared" si="3"/>
        <v>1200</v>
      </c>
      <c r="I255" s="56"/>
      <c r="J255" s="46"/>
      <c r="K255" s="16" t="str">
        <f>HYPERLINK("https://www.loqueleo.com/ar/libro/leyendo-leyendas","VER")</f>
        <v>VER</v>
      </c>
      <c r="L255" s="56">
        <v>2016</v>
      </c>
    </row>
    <row r="256" spans="1:12" ht="12" customHeight="1">
      <c r="A256" s="45">
        <v>61082254</v>
      </c>
      <c r="B256" s="44">
        <v>9789504655374</v>
      </c>
      <c r="C256" s="44" t="s">
        <v>8</v>
      </c>
      <c r="D256" s="45" t="s">
        <v>369</v>
      </c>
      <c r="E256" s="45" t="s">
        <v>56</v>
      </c>
      <c r="F256" s="45" t="s">
        <v>26</v>
      </c>
      <c r="G256" s="26">
        <v>3100</v>
      </c>
      <c r="H256" s="26">
        <f t="shared" si="3"/>
        <v>1550</v>
      </c>
      <c r="I256" s="56"/>
      <c r="J256" s="46"/>
      <c r="K256" s="16" t="str">
        <f>HYPERLINK("https://www.loqueleo.com/ar/libro/leyra","VER")</f>
        <v>VER</v>
      </c>
      <c r="L256" s="56">
        <v>2018</v>
      </c>
    </row>
    <row r="257" spans="1:12" ht="12" customHeight="1">
      <c r="A257" s="45">
        <v>61070104</v>
      </c>
      <c r="B257" s="44">
        <v>9789504647003</v>
      </c>
      <c r="C257" s="44" t="s">
        <v>8</v>
      </c>
      <c r="D257" s="45" t="s">
        <v>218</v>
      </c>
      <c r="E257" s="45" t="s">
        <v>12</v>
      </c>
      <c r="F257" s="45" t="s">
        <v>462</v>
      </c>
      <c r="G257" s="26">
        <v>2990</v>
      </c>
      <c r="H257" s="26">
        <f t="shared" si="3"/>
        <v>1495</v>
      </c>
      <c r="I257" s="56"/>
      <c r="J257" s="46"/>
      <c r="K257" s="16" t="str">
        <f>HYPERLINK("https://www.loqueleo.com/ar/libro/el-libro-de-los-chicos-enamorados","VER")</f>
        <v>VER</v>
      </c>
      <c r="L257" s="56">
        <v>2017</v>
      </c>
    </row>
    <row r="258" spans="1:12" ht="12" customHeight="1">
      <c r="A258" s="45">
        <v>61070083</v>
      </c>
      <c r="B258" s="44">
        <v>9789504644071</v>
      </c>
      <c r="C258" s="44" t="s">
        <v>8</v>
      </c>
      <c r="D258" s="45" t="s">
        <v>219</v>
      </c>
      <c r="E258" s="45" t="s">
        <v>12</v>
      </c>
      <c r="F258" s="45" t="s">
        <v>461</v>
      </c>
      <c r="G258" s="26">
        <v>2400</v>
      </c>
      <c r="H258" s="26">
        <f t="shared" si="3"/>
        <v>1200</v>
      </c>
      <c r="I258" s="56"/>
      <c r="J258" s="46" t="s">
        <v>348</v>
      </c>
      <c r="K258" s="16" t="s">
        <v>439</v>
      </c>
      <c r="L258" s="56">
        <v>2017</v>
      </c>
    </row>
    <row r="259" spans="1:12" ht="12" customHeight="1">
      <c r="A259" s="45">
        <v>61070146</v>
      </c>
      <c r="B259" s="44">
        <v>9789504646570</v>
      </c>
      <c r="C259" s="44" t="s">
        <v>8</v>
      </c>
      <c r="D259" s="45" t="s">
        <v>220</v>
      </c>
      <c r="E259" s="45" t="s">
        <v>121</v>
      </c>
      <c r="F259" s="45" t="s">
        <v>26</v>
      </c>
      <c r="G259" s="26">
        <v>3100</v>
      </c>
      <c r="H259" s="26">
        <f t="shared" si="3"/>
        <v>1550</v>
      </c>
      <c r="I259" s="56"/>
      <c r="J259" s="46"/>
      <c r="K259" s="16" t="str">
        <f>HYPERLINK("https://www.loqueleo.com/ar/libro/la-llave-del-aguila","VER")</f>
        <v>VER</v>
      </c>
      <c r="L259" s="56">
        <v>2016</v>
      </c>
    </row>
    <row r="260" spans="1:12" ht="12" customHeight="1">
      <c r="A260" s="45">
        <v>61072850</v>
      </c>
      <c r="B260" s="44">
        <v>9789504650546</v>
      </c>
      <c r="C260" s="44" t="s">
        <v>8</v>
      </c>
      <c r="D260" s="45" t="s">
        <v>221</v>
      </c>
      <c r="E260" s="45" t="s">
        <v>222</v>
      </c>
      <c r="F260" s="45" t="s">
        <v>26</v>
      </c>
      <c r="G260" s="26">
        <v>3100</v>
      </c>
      <c r="H260" s="26">
        <f t="shared" si="3"/>
        <v>1550</v>
      </c>
      <c r="I260" s="56"/>
      <c r="J260" s="46" t="s">
        <v>348</v>
      </c>
      <c r="K260" s="16" t="str">
        <f>HYPERLINK("https://www.loqueleo.com/ar/libro/lo-que-guarda-un-caracol","VER")</f>
        <v>VER</v>
      </c>
      <c r="L260" s="56">
        <v>2016</v>
      </c>
    </row>
    <row r="261" spans="1:12" ht="12" customHeight="1">
      <c r="A261" s="45">
        <v>61069221</v>
      </c>
      <c r="B261" s="44">
        <v>9789504643081</v>
      </c>
      <c r="C261" s="44" t="s">
        <v>8</v>
      </c>
      <c r="D261" s="45" t="s">
        <v>223</v>
      </c>
      <c r="E261" s="45" t="s">
        <v>74</v>
      </c>
      <c r="F261" s="45" t="s">
        <v>459</v>
      </c>
      <c r="G261" s="26">
        <v>2600</v>
      </c>
      <c r="H261" s="26">
        <f t="shared" si="3"/>
        <v>1300</v>
      </c>
      <c r="I261" s="56"/>
      <c r="J261" s="46"/>
      <c r="K261" s="16" t="s">
        <v>439</v>
      </c>
      <c r="L261" s="56">
        <v>2016</v>
      </c>
    </row>
    <row r="262" spans="1:12" s="7" customFormat="1" ht="12" customHeight="1">
      <c r="A262" s="45">
        <v>61069280</v>
      </c>
      <c r="B262" s="44">
        <v>9789504643395</v>
      </c>
      <c r="C262" s="44" t="s">
        <v>8</v>
      </c>
      <c r="D262" s="45" t="s">
        <v>224</v>
      </c>
      <c r="E262" s="45" t="s">
        <v>12</v>
      </c>
      <c r="F262" s="45" t="s">
        <v>465</v>
      </c>
      <c r="G262" s="26">
        <v>2990</v>
      </c>
      <c r="H262" s="26">
        <f t="shared" si="3"/>
        <v>1495</v>
      </c>
      <c r="I262" s="56"/>
      <c r="J262" s="46"/>
      <c r="K262" s="16" t="s">
        <v>439</v>
      </c>
      <c r="L262" s="56">
        <v>2016</v>
      </c>
    </row>
    <row r="263" spans="1:12" ht="12" customHeight="1">
      <c r="A263" s="45">
        <v>61069205</v>
      </c>
      <c r="B263" s="44">
        <v>9789504643692</v>
      </c>
      <c r="C263" s="44" t="s">
        <v>8</v>
      </c>
      <c r="D263" s="45" t="s">
        <v>225</v>
      </c>
      <c r="E263" s="45" t="s">
        <v>56</v>
      </c>
      <c r="F263" s="45" t="s">
        <v>460</v>
      </c>
      <c r="G263" s="26">
        <v>2990</v>
      </c>
      <c r="H263" s="26">
        <f t="shared" si="3"/>
        <v>1495</v>
      </c>
      <c r="I263" s="56"/>
      <c r="J263" s="46" t="s">
        <v>348</v>
      </c>
      <c r="K263" s="16" t="str">
        <f>HYPERLINK("https://www.loqueleo.com/ar/libro/lucas-lenz-y-el-museo-del-universo","VER")</f>
        <v>VER</v>
      </c>
      <c r="L263" s="56">
        <v>2016</v>
      </c>
    </row>
    <row r="264" spans="1:12" ht="12" customHeight="1">
      <c r="A264" s="45">
        <v>61071739</v>
      </c>
      <c r="B264" s="44">
        <v>9789504648628</v>
      </c>
      <c r="C264" s="44" t="s">
        <v>8</v>
      </c>
      <c r="D264" s="45" t="s">
        <v>226</v>
      </c>
      <c r="E264" s="45" t="s">
        <v>56</v>
      </c>
      <c r="F264" s="45" t="s">
        <v>460</v>
      </c>
      <c r="G264" s="26">
        <v>2990</v>
      </c>
      <c r="H264" s="26">
        <f t="shared" si="3"/>
        <v>1495</v>
      </c>
      <c r="I264" s="56"/>
      <c r="J264" s="46"/>
      <c r="K264" s="16" t="str">
        <f>HYPERLINK("https://www.loqueleo.com/ar/libro/lucas-lenz-y-la-mano-del-emperador","VER")</f>
        <v>VER</v>
      </c>
      <c r="L264" s="56">
        <v>2016</v>
      </c>
    </row>
    <row r="265" spans="1:12" ht="12" customHeight="1">
      <c r="A265" s="45">
        <v>61070031</v>
      </c>
      <c r="B265" s="44">
        <v>9789504644521</v>
      </c>
      <c r="C265" s="44" t="s">
        <v>8</v>
      </c>
      <c r="D265" s="45" t="s">
        <v>395</v>
      </c>
      <c r="E265" s="45" t="s">
        <v>78</v>
      </c>
      <c r="F265" s="45" t="s">
        <v>461</v>
      </c>
      <c r="G265" s="26">
        <v>2200</v>
      </c>
      <c r="H265" s="26">
        <f aca="true" t="shared" si="4" ref="H265:H328">+G265/2</f>
        <v>1100</v>
      </c>
      <c r="I265" s="56"/>
      <c r="J265" s="46"/>
      <c r="K265" s="16" t="str">
        <f>HYPERLINK("https://www.loqueleo.com/ar/libro/luli","VER")</f>
        <v>VER</v>
      </c>
      <c r="L265" s="56">
        <v>2015</v>
      </c>
    </row>
    <row r="266" spans="1:12" ht="12" customHeight="1">
      <c r="A266" s="45">
        <v>61070165</v>
      </c>
      <c r="B266" s="44">
        <v>9789504646280</v>
      </c>
      <c r="C266" s="44" t="s">
        <v>8</v>
      </c>
      <c r="D266" s="45" t="s">
        <v>227</v>
      </c>
      <c r="E266" s="45" t="s">
        <v>127</v>
      </c>
      <c r="F266" s="45" t="s">
        <v>464</v>
      </c>
      <c r="G266" s="26">
        <v>2600</v>
      </c>
      <c r="H266" s="26">
        <f t="shared" si="4"/>
        <v>1300</v>
      </c>
      <c r="I266" s="56"/>
      <c r="J266" s="46"/>
      <c r="K266" s="16" t="str">
        <f>HYPERLINK("https://www.loqueleo.com/ar/libro/luna-recien-nacida","VER")</f>
        <v>VER</v>
      </c>
      <c r="L266" s="56">
        <v>2015</v>
      </c>
    </row>
    <row r="267" spans="1:12" ht="12" customHeight="1">
      <c r="A267" s="48">
        <v>61073762</v>
      </c>
      <c r="B267" s="49">
        <v>9789504652359</v>
      </c>
      <c r="C267" s="49" t="s">
        <v>8</v>
      </c>
      <c r="D267" s="45" t="s">
        <v>532</v>
      </c>
      <c r="E267" s="53" t="s">
        <v>10</v>
      </c>
      <c r="F267" s="45" t="s">
        <v>465</v>
      </c>
      <c r="G267" s="26">
        <v>2990</v>
      </c>
      <c r="H267" s="26">
        <f t="shared" si="4"/>
        <v>1495</v>
      </c>
      <c r="I267" s="57"/>
      <c r="J267" s="46"/>
      <c r="K267" s="16" t="s">
        <v>439</v>
      </c>
      <c r="L267" s="57">
        <v>2016</v>
      </c>
    </row>
    <row r="268" spans="1:12" s="7" customFormat="1" ht="12" customHeight="1">
      <c r="A268" s="45">
        <v>61077657</v>
      </c>
      <c r="B268" s="44">
        <v>9789504652670</v>
      </c>
      <c r="C268" s="44" t="s">
        <v>8</v>
      </c>
      <c r="D268" s="45" t="s">
        <v>228</v>
      </c>
      <c r="E268" s="45" t="s">
        <v>23</v>
      </c>
      <c r="F268" s="45" t="s">
        <v>461</v>
      </c>
      <c r="G268" s="26">
        <v>2200</v>
      </c>
      <c r="H268" s="26">
        <f t="shared" si="4"/>
        <v>1100</v>
      </c>
      <c r="I268" s="56"/>
      <c r="J268" s="46"/>
      <c r="K268" s="16" t="str">
        <f>HYPERLINK("https://www.loqueleo.com/ar/libro/magia-todo-el-dia","VER")</f>
        <v>VER</v>
      </c>
      <c r="L268" s="56">
        <v>2017</v>
      </c>
    </row>
    <row r="269" spans="1:12" ht="12" customHeight="1">
      <c r="A269" s="45">
        <v>61071778</v>
      </c>
      <c r="B269" s="44">
        <v>9789504648123</v>
      </c>
      <c r="C269" s="44" t="s">
        <v>8</v>
      </c>
      <c r="D269" s="45" t="s">
        <v>364</v>
      </c>
      <c r="E269" s="45" t="s">
        <v>16</v>
      </c>
      <c r="F269" s="45" t="s">
        <v>26</v>
      </c>
      <c r="G269" s="26">
        <v>2890</v>
      </c>
      <c r="H269" s="26">
        <f t="shared" si="4"/>
        <v>1445</v>
      </c>
      <c r="I269" s="56"/>
      <c r="J269" s="46" t="s">
        <v>348</v>
      </c>
      <c r="K269" s="16" t="str">
        <f>HYPERLINK("https://www.loqueleo.com/ar/libro/la-malasangre","VER")</f>
        <v>VER</v>
      </c>
      <c r="L269" s="56">
        <v>2016</v>
      </c>
    </row>
    <row r="270" spans="1:12" ht="12" customHeight="1">
      <c r="A270" s="45">
        <v>61071823</v>
      </c>
      <c r="B270" s="44">
        <v>9789504648826</v>
      </c>
      <c r="C270" s="44" t="s">
        <v>8</v>
      </c>
      <c r="D270" s="45" t="s">
        <v>229</v>
      </c>
      <c r="E270" s="45" t="s">
        <v>76</v>
      </c>
      <c r="F270" s="45" t="s">
        <v>460</v>
      </c>
      <c r="G270" s="26">
        <v>2400</v>
      </c>
      <c r="H270" s="26">
        <f t="shared" si="4"/>
        <v>1200</v>
      </c>
      <c r="I270" s="56"/>
      <c r="J270" s="46"/>
      <c r="K270" s="16" t="str">
        <f>HYPERLINK("https://www.loqueleo.com/ar/libro/la-maldicion-del-virrey","VER")</f>
        <v>VER</v>
      </c>
      <c r="L270" s="56">
        <v>2016</v>
      </c>
    </row>
    <row r="271" spans="1:12" s="28" customFormat="1" ht="12" customHeight="1">
      <c r="A271" s="45">
        <v>61072149</v>
      </c>
      <c r="B271" s="44">
        <v>9789504650539</v>
      </c>
      <c r="C271" s="44" t="s">
        <v>8</v>
      </c>
      <c r="D271" s="45" t="s">
        <v>230</v>
      </c>
      <c r="E271" s="45" t="s">
        <v>14</v>
      </c>
      <c r="F271" s="45" t="s">
        <v>460</v>
      </c>
      <c r="G271" s="26">
        <v>2990</v>
      </c>
      <c r="H271" s="26">
        <f t="shared" si="4"/>
        <v>1495</v>
      </c>
      <c r="I271" s="56"/>
      <c r="J271" s="46" t="s">
        <v>348</v>
      </c>
      <c r="K271" s="16" t="str">
        <f>HYPERLINK("https://www.loqueleo.com/ar/libro/maleducada","VER")</f>
        <v>VER</v>
      </c>
      <c r="L271" s="56">
        <v>2016</v>
      </c>
    </row>
    <row r="272" spans="1:12" ht="12" customHeight="1">
      <c r="A272" s="45">
        <v>61071827</v>
      </c>
      <c r="B272" s="44">
        <v>9789504648000</v>
      </c>
      <c r="C272" s="44" t="s">
        <v>8</v>
      </c>
      <c r="D272" s="45" t="s">
        <v>231</v>
      </c>
      <c r="E272" s="45" t="s">
        <v>23</v>
      </c>
      <c r="F272" s="45" t="s">
        <v>465</v>
      </c>
      <c r="G272" s="26">
        <v>2990</v>
      </c>
      <c r="H272" s="26">
        <f t="shared" si="4"/>
        <v>1495</v>
      </c>
      <c r="I272" s="56"/>
      <c r="J272" s="46"/>
      <c r="K272" s="16" t="str">
        <f>HYPERLINK("https://www.loqueleo.com/ar/libro/mama-por-que-nadie-es-como-nosotros","VER")</f>
        <v>VER</v>
      </c>
      <c r="L272" s="56">
        <v>2015</v>
      </c>
    </row>
    <row r="273" spans="1:12" ht="12" customHeight="1">
      <c r="A273" s="45">
        <v>61071828</v>
      </c>
      <c r="B273" s="44">
        <v>9789504648772</v>
      </c>
      <c r="C273" s="44" t="s">
        <v>8</v>
      </c>
      <c r="D273" s="45" t="s">
        <v>533</v>
      </c>
      <c r="E273" s="45" t="s">
        <v>92</v>
      </c>
      <c r="F273" s="45" t="s">
        <v>460</v>
      </c>
      <c r="G273" s="26">
        <v>2990</v>
      </c>
      <c r="H273" s="26">
        <f t="shared" si="4"/>
        <v>1495</v>
      </c>
      <c r="I273" s="56"/>
      <c r="J273" s="46"/>
      <c r="K273" s="16" t="str">
        <f>HYPERLINK("https://www.loqueleo.com/ar/libro/mar-cruzado","VER")</f>
        <v>VER</v>
      </c>
      <c r="L273" s="56">
        <v>2016</v>
      </c>
    </row>
    <row r="274" spans="1:12" ht="12" customHeight="1">
      <c r="A274" s="45">
        <v>61071776</v>
      </c>
      <c r="B274" s="44">
        <v>9789504648710</v>
      </c>
      <c r="C274" s="44" t="s">
        <v>8</v>
      </c>
      <c r="D274" s="45" t="s">
        <v>534</v>
      </c>
      <c r="E274" s="45" t="s">
        <v>28</v>
      </c>
      <c r="F274" s="45" t="s">
        <v>460</v>
      </c>
      <c r="G274" s="26">
        <v>2990</v>
      </c>
      <c r="H274" s="26">
        <f t="shared" si="4"/>
        <v>1495</v>
      </c>
      <c r="I274" s="56"/>
      <c r="J274" s="46" t="s">
        <v>348</v>
      </c>
      <c r="K274" s="16" t="str">
        <f>HYPERLINK("https://www.loqueleo.com/ar/libro/el-mar-en-la-piedra","VER")</f>
        <v>VER</v>
      </c>
      <c r="L274" s="56">
        <v>2017</v>
      </c>
    </row>
    <row r="275" spans="1:12" ht="12" customHeight="1">
      <c r="A275" s="45">
        <v>61070008</v>
      </c>
      <c r="B275" s="44">
        <v>9789504644569</v>
      </c>
      <c r="C275" s="44" t="s">
        <v>8</v>
      </c>
      <c r="D275" s="45" t="s">
        <v>232</v>
      </c>
      <c r="E275" s="45" t="s">
        <v>52</v>
      </c>
      <c r="F275" s="45" t="s">
        <v>461</v>
      </c>
      <c r="G275" s="26">
        <v>2200</v>
      </c>
      <c r="H275" s="26">
        <f t="shared" si="4"/>
        <v>1100</v>
      </c>
      <c r="I275" s="56"/>
      <c r="J275" s="46"/>
      <c r="K275" s="16" t="str">
        <f>HYPERLINK("https://www.loqueleo.com/ar/libro/el-mar-preferido-de-los-piratas","VER")</f>
        <v>VER</v>
      </c>
      <c r="L275" s="56">
        <v>2016</v>
      </c>
    </row>
    <row r="276" spans="1:12" ht="12" customHeight="1">
      <c r="A276" s="21">
        <v>61093872</v>
      </c>
      <c r="B276" s="21">
        <v>9789504662105</v>
      </c>
      <c r="C276" s="21" t="s">
        <v>8</v>
      </c>
      <c r="D276" s="22" t="s">
        <v>449</v>
      </c>
      <c r="E276" s="23" t="s">
        <v>16</v>
      </c>
      <c r="F276" s="24" t="s">
        <v>26</v>
      </c>
      <c r="G276" s="25">
        <v>2890</v>
      </c>
      <c r="H276" s="25">
        <f t="shared" si="4"/>
        <v>1445</v>
      </c>
      <c r="I276" s="30"/>
      <c r="J276" s="20" t="s">
        <v>497</v>
      </c>
      <c r="K276" s="29" t="s">
        <v>439</v>
      </c>
      <c r="L276" s="30">
        <v>2021</v>
      </c>
    </row>
    <row r="277" spans="1:12" ht="12" customHeight="1">
      <c r="A277" s="45">
        <v>61069021</v>
      </c>
      <c r="B277" s="44">
        <v>9789504644835</v>
      </c>
      <c r="C277" s="44" t="s">
        <v>8</v>
      </c>
      <c r="D277" s="45" t="s">
        <v>233</v>
      </c>
      <c r="E277" s="45" t="s">
        <v>66</v>
      </c>
      <c r="F277" s="45" t="s">
        <v>26</v>
      </c>
      <c r="G277" s="26">
        <v>3100</v>
      </c>
      <c r="H277" s="26">
        <f t="shared" si="4"/>
        <v>1550</v>
      </c>
      <c r="I277" s="56"/>
      <c r="J277" s="46"/>
      <c r="K277" s="16" t="str">
        <f>HYPERLINK("https://www.loqueleo.com/ar/libro/las-marcas-de-la-mentira","VER")</f>
        <v>VER</v>
      </c>
      <c r="L277" s="56">
        <v>2016</v>
      </c>
    </row>
    <row r="278" spans="1:12" s="6" customFormat="1" ht="12" customHeight="1">
      <c r="A278" s="45">
        <v>61071773</v>
      </c>
      <c r="B278" s="44">
        <v>9789504648161</v>
      </c>
      <c r="C278" s="44" t="s">
        <v>8</v>
      </c>
      <c r="D278" s="45" t="s">
        <v>234</v>
      </c>
      <c r="E278" s="45" t="s">
        <v>235</v>
      </c>
      <c r="F278" s="45" t="s">
        <v>26</v>
      </c>
      <c r="G278" s="26">
        <v>2890</v>
      </c>
      <c r="H278" s="26">
        <f t="shared" si="4"/>
        <v>1445</v>
      </c>
      <c r="I278" s="56"/>
      <c r="J278" s="46"/>
      <c r="K278" s="16" t="str">
        <f>HYPERLINK("https://www.loqueleo.com/ar/libro/martin-fierro","VER")</f>
        <v>VER</v>
      </c>
      <c r="L278" s="56">
        <v>2016</v>
      </c>
    </row>
    <row r="279" spans="1:12" ht="12" customHeight="1">
      <c r="A279" s="45">
        <v>61069294</v>
      </c>
      <c r="B279" s="44">
        <v>9789504643685</v>
      </c>
      <c r="C279" s="44" t="s">
        <v>8</v>
      </c>
      <c r="D279" s="45" t="s">
        <v>236</v>
      </c>
      <c r="E279" s="45" t="s">
        <v>19</v>
      </c>
      <c r="F279" s="45" t="s">
        <v>460</v>
      </c>
      <c r="G279" s="26">
        <v>2990</v>
      </c>
      <c r="H279" s="26">
        <f t="shared" si="4"/>
        <v>1495</v>
      </c>
      <c r="I279" s="56"/>
      <c r="J279" s="46"/>
      <c r="K279" s="16" t="s">
        <v>439</v>
      </c>
      <c r="L279" s="56">
        <v>2015</v>
      </c>
    </row>
    <row r="280" spans="1:12" s="7" customFormat="1" ht="12" customHeight="1">
      <c r="A280" s="45">
        <v>61073760</v>
      </c>
      <c r="B280" s="44">
        <v>9789504651901</v>
      </c>
      <c r="C280" s="44" t="s">
        <v>8</v>
      </c>
      <c r="D280" s="45" t="s">
        <v>237</v>
      </c>
      <c r="E280" s="45" t="s">
        <v>127</v>
      </c>
      <c r="F280" s="45" t="s">
        <v>460</v>
      </c>
      <c r="G280" s="26">
        <v>2990</v>
      </c>
      <c r="H280" s="26">
        <f t="shared" si="4"/>
        <v>1495</v>
      </c>
      <c r="I280" s="56"/>
      <c r="J280" s="46"/>
      <c r="K280" s="16" t="str">
        <f>HYPERLINK("https://www.loqueleo.com/ar/libro/mauro-adela","VER")</f>
        <v>VER</v>
      </c>
      <c r="L280" s="56">
        <v>2017</v>
      </c>
    </row>
    <row r="281" spans="1:12" ht="12" customHeight="1">
      <c r="A281" s="45">
        <v>61087324</v>
      </c>
      <c r="B281" s="44">
        <v>9789504657965</v>
      </c>
      <c r="C281" s="44" t="s">
        <v>8</v>
      </c>
      <c r="D281" s="45" t="s">
        <v>535</v>
      </c>
      <c r="E281" s="45" t="s">
        <v>19</v>
      </c>
      <c r="F281" s="45" t="s">
        <v>26</v>
      </c>
      <c r="G281" s="26">
        <v>3100</v>
      </c>
      <c r="H281" s="26">
        <f t="shared" si="4"/>
        <v>1550</v>
      </c>
      <c r="I281" s="56"/>
      <c r="J281" s="46"/>
      <c r="K281" s="16" t="str">
        <f>HYPERLINK("https://www.loqueleo.com/ar/libro/los-mejores-relatos-de-roald-dahl","VER")</f>
        <v>VER</v>
      </c>
      <c r="L281" s="56">
        <v>2016</v>
      </c>
    </row>
    <row r="282" spans="1:12" s="7" customFormat="1" ht="12" customHeight="1">
      <c r="A282" s="45">
        <v>61070042</v>
      </c>
      <c r="B282" s="44">
        <v>9789504646587</v>
      </c>
      <c r="C282" s="44" t="s">
        <v>8</v>
      </c>
      <c r="D282" s="45" t="s">
        <v>238</v>
      </c>
      <c r="E282" s="45" t="s">
        <v>14</v>
      </c>
      <c r="F282" s="45" t="s">
        <v>461</v>
      </c>
      <c r="G282" s="26">
        <v>2400</v>
      </c>
      <c r="H282" s="26">
        <f t="shared" si="4"/>
        <v>1200</v>
      </c>
      <c r="I282" s="56"/>
      <c r="J282" s="46"/>
      <c r="K282" s="16" t="str">
        <f>HYPERLINK("https://www.loqueleo.com/ar/libro/la-mesa-el-burro-el-baston","VER")</f>
        <v>VER</v>
      </c>
      <c r="L282" s="56">
        <v>2016</v>
      </c>
    </row>
    <row r="283" spans="1:12" ht="12" customHeight="1">
      <c r="A283" s="45">
        <v>61090742</v>
      </c>
      <c r="B283" s="44">
        <v>9789504659150</v>
      </c>
      <c r="C283" s="44" t="s">
        <v>8</v>
      </c>
      <c r="D283" s="45" t="s">
        <v>430</v>
      </c>
      <c r="E283" s="45" t="s">
        <v>27</v>
      </c>
      <c r="F283" s="45" t="s">
        <v>460</v>
      </c>
      <c r="G283" s="26">
        <v>2400</v>
      </c>
      <c r="H283" s="26">
        <f t="shared" si="4"/>
        <v>1200</v>
      </c>
      <c r="I283" s="56"/>
      <c r="J283" s="46"/>
      <c r="K283" s="16" t="str">
        <f>HYPERLINK("https://www.loqueleo.com/ar/libro/mi-amigo-manuel","VER")</f>
        <v>VER</v>
      </c>
      <c r="L283" s="56">
        <v>2020</v>
      </c>
    </row>
    <row r="284" spans="1:12" ht="12" customHeight="1">
      <c r="A284" s="45">
        <v>61070101</v>
      </c>
      <c r="B284" s="44">
        <v>9789504646372</v>
      </c>
      <c r="C284" s="44" t="s">
        <v>8</v>
      </c>
      <c r="D284" s="45" t="s">
        <v>239</v>
      </c>
      <c r="E284" s="45" t="s">
        <v>240</v>
      </c>
      <c r="F284" s="45" t="s">
        <v>462</v>
      </c>
      <c r="G284" s="26">
        <v>2990</v>
      </c>
      <c r="H284" s="26">
        <f t="shared" si="4"/>
        <v>1495</v>
      </c>
      <c r="I284" s="56"/>
      <c r="J284" s="46"/>
      <c r="K284" s="16" t="str">
        <f>HYPERLINK("https://www.loqueleo.com/ar/libro/mi-mundial","VER")</f>
        <v>VER</v>
      </c>
      <c r="L284" s="56">
        <v>2016</v>
      </c>
    </row>
    <row r="285" spans="1:12" ht="12" customHeight="1">
      <c r="A285" s="21">
        <v>61088916</v>
      </c>
      <c r="B285" s="21">
        <v>9789504658719</v>
      </c>
      <c r="C285" s="21" t="s">
        <v>8</v>
      </c>
      <c r="D285" s="22" t="s">
        <v>451</v>
      </c>
      <c r="E285" s="23" t="s">
        <v>146</v>
      </c>
      <c r="F285" s="24" t="s">
        <v>465</v>
      </c>
      <c r="G285" s="25">
        <v>6800</v>
      </c>
      <c r="H285" s="25">
        <f t="shared" si="4"/>
        <v>3400</v>
      </c>
      <c r="I285" s="30"/>
      <c r="J285" s="20" t="s">
        <v>497</v>
      </c>
      <c r="K285" s="29" t="s">
        <v>439</v>
      </c>
      <c r="L285" s="30">
        <v>2021</v>
      </c>
    </row>
    <row r="286" spans="1:12" ht="12" customHeight="1">
      <c r="A286" s="45">
        <v>61071742</v>
      </c>
      <c r="B286" s="44">
        <v>9789504647843</v>
      </c>
      <c r="C286" s="44" t="s">
        <v>8</v>
      </c>
      <c r="D286" s="45" t="s">
        <v>241</v>
      </c>
      <c r="E286" s="45" t="s">
        <v>12</v>
      </c>
      <c r="F286" s="45" t="s">
        <v>465</v>
      </c>
      <c r="G286" s="26">
        <v>2990</v>
      </c>
      <c r="H286" s="26">
        <f t="shared" si="4"/>
        <v>1495</v>
      </c>
      <c r="I286" s="56"/>
      <c r="J286" s="46"/>
      <c r="K286" s="16" t="str">
        <f>HYPERLINK("https://www.loqueleo.com/ar/libro/mil-grullas","VER")</f>
        <v>VER</v>
      </c>
      <c r="L286" s="56">
        <v>2015</v>
      </c>
    </row>
    <row r="287" spans="1:12" s="7" customFormat="1" ht="12" customHeight="1">
      <c r="A287" s="45">
        <v>61070079</v>
      </c>
      <c r="B287" s="44">
        <v>9789504644415</v>
      </c>
      <c r="C287" s="44" t="s">
        <v>8</v>
      </c>
      <c r="D287" s="45" t="s">
        <v>242</v>
      </c>
      <c r="E287" s="45" t="s">
        <v>19</v>
      </c>
      <c r="F287" s="45" t="s">
        <v>461</v>
      </c>
      <c r="G287" s="26">
        <v>2200</v>
      </c>
      <c r="H287" s="26">
        <f t="shared" si="4"/>
        <v>1100</v>
      </c>
      <c r="I287" s="56"/>
      <c r="J287" s="46"/>
      <c r="K287" s="16" t="str">
        <f>HYPERLINK("https://www.loqueleo.com/ar/libro/los-mimpins","VER")</f>
        <v>VER</v>
      </c>
      <c r="L287" s="56">
        <v>2016</v>
      </c>
    </row>
    <row r="288" spans="1:12" ht="12" customHeight="1">
      <c r="A288" s="45">
        <v>61069281</v>
      </c>
      <c r="B288" s="44">
        <v>9789504643227</v>
      </c>
      <c r="C288" s="44" t="s">
        <v>8</v>
      </c>
      <c r="D288" s="45" t="s">
        <v>243</v>
      </c>
      <c r="E288" s="45" t="s">
        <v>12</v>
      </c>
      <c r="F288" s="45" t="s">
        <v>461</v>
      </c>
      <c r="G288" s="26">
        <v>2400</v>
      </c>
      <c r="H288" s="26">
        <f t="shared" si="4"/>
        <v>1200</v>
      </c>
      <c r="I288" s="56"/>
      <c r="J288" s="46"/>
      <c r="K288" s="16" t="str">
        <f>HYPERLINK("https://www.loqueleo.com/ar/libro/mini-antologia-de-cuentos-tradicionales","VER")</f>
        <v>VER</v>
      </c>
      <c r="L288" s="56">
        <v>2016</v>
      </c>
    </row>
    <row r="289" spans="1:12" ht="12" customHeight="1">
      <c r="A289" s="45">
        <v>61086879</v>
      </c>
      <c r="B289" s="44">
        <v>9789504658399</v>
      </c>
      <c r="C289" s="44" t="s">
        <v>8</v>
      </c>
      <c r="D289" s="45" t="s">
        <v>409</v>
      </c>
      <c r="E289" s="45" t="s">
        <v>410</v>
      </c>
      <c r="F289" s="45" t="s">
        <v>461</v>
      </c>
      <c r="G289" s="26">
        <v>2200</v>
      </c>
      <c r="H289" s="26">
        <f t="shared" si="4"/>
        <v>1100</v>
      </c>
      <c r="I289" s="56"/>
      <c r="J289" s="46"/>
      <c r="K289" s="16" t="str">
        <f>HYPERLINK("https://www.loqueleo.com/ar/libro/mis-tios-gigantes","VER")</f>
        <v>VER</v>
      </c>
      <c r="L289" s="56">
        <v>2019</v>
      </c>
    </row>
    <row r="290" spans="1:12" s="28" customFormat="1" ht="12" customHeight="1">
      <c r="A290" s="45">
        <v>61070041</v>
      </c>
      <c r="B290" s="44">
        <v>9789504645979</v>
      </c>
      <c r="C290" s="44" t="s">
        <v>8</v>
      </c>
      <c r="D290" s="45" t="s">
        <v>244</v>
      </c>
      <c r="E290" s="45" t="s">
        <v>58</v>
      </c>
      <c r="F290" s="45" t="s">
        <v>460</v>
      </c>
      <c r="G290" s="26">
        <v>2990</v>
      </c>
      <c r="H290" s="26">
        <f t="shared" si="4"/>
        <v>1495</v>
      </c>
      <c r="I290" s="56"/>
      <c r="J290" s="46"/>
      <c r="K290" s="16" t="str">
        <f>HYPERLINK("https://www.loqueleo.com/ar/libro/mitos-y-recuerdos","VER")</f>
        <v>VER</v>
      </c>
      <c r="L290" s="56">
        <v>2016</v>
      </c>
    </row>
    <row r="291" spans="1:12" ht="12" customHeight="1">
      <c r="A291" s="45">
        <v>61070145</v>
      </c>
      <c r="B291" s="44">
        <v>9789504645894</v>
      </c>
      <c r="C291" s="44" t="s">
        <v>8</v>
      </c>
      <c r="D291" s="45" t="s">
        <v>245</v>
      </c>
      <c r="E291" s="45" t="s">
        <v>192</v>
      </c>
      <c r="F291" s="45" t="s">
        <v>26</v>
      </c>
      <c r="G291" s="26">
        <v>3500</v>
      </c>
      <c r="H291" s="26">
        <f t="shared" si="4"/>
        <v>1750</v>
      </c>
      <c r="I291" s="56"/>
      <c r="J291" s="46"/>
      <c r="K291" s="16" t="str">
        <f>HYPERLINK("https://www.loqueleo.com/ar/libro/momo","VER")</f>
        <v>VER</v>
      </c>
      <c r="L291" s="56">
        <v>2016</v>
      </c>
    </row>
    <row r="292" spans="1:12" s="7" customFormat="1" ht="12" customHeight="1">
      <c r="A292" s="45">
        <v>61069022</v>
      </c>
      <c r="B292" s="44">
        <v>9789504647751</v>
      </c>
      <c r="C292" s="44" t="s">
        <v>8</v>
      </c>
      <c r="D292" s="45" t="s">
        <v>246</v>
      </c>
      <c r="E292" s="45" t="s">
        <v>14</v>
      </c>
      <c r="F292" s="45" t="s">
        <v>461</v>
      </c>
      <c r="G292" s="26">
        <v>2200</v>
      </c>
      <c r="H292" s="26">
        <f t="shared" si="4"/>
        <v>1100</v>
      </c>
      <c r="I292" s="56"/>
      <c r="J292" s="46"/>
      <c r="K292" s="16" t="str">
        <f>HYPERLINK("https://www.loqueleo.com/ar/libro/la-moneda-maravillosa","VER")</f>
        <v>VER</v>
      </c>
      <c r="L292" s="56">
        <v>2016</v>
      </c>
    </row>
    <row r="293" spans="1:12" ht="12" customHeight="1">
      <c r="A293" s="45">
        <v>61069210</v>
      </c>
      <c r="B293" s="44">
        <v>9789504643067</v>
      </c>
      <c r="C293" s="44" t="s">
        <v>8</v>
      </c>
      <c r="D293" s="45" t="s">
        <v>247</v>
      </c>
      <c r="E293" s="45" t="s">
        <v>96</v>
      </c>
      <c r="F293" s="45" t="s">
        <v>459</v>
      </c>
      <c r="G293" s="26">
        <v>2600</v>
      </c>
      <c r="H293" s="26">
        <f t="shared" si="4"/>
        <v>1300</v>
      </c>
      <c r="I293" s="56"/>
      <c r="J293" s="46"/>
      <c r="K293" s="16" t="str">
        <f>HYPERLINK("https://www.loqueleo.com/ar/libro/monigote-en-la-arena","VER")</f>
        <v>VER</v>
      </c>
      <c r="L293" s="56">
        <v>2016</v>
      </c>
    </row>
    <row r="294" spans="1:12" ht="12" customHeight="1">
      <c r="A294" s="45">
        <v>61069232</v>
      </c>
      <c r="B294" s="44">
        <v>9789504643784</v>
      </c>
      <c r="C294" s="44" t="s">
        <v>8</v>
      </c>
      <c r="D294" s="45" t="s">
        <v>248</v>
      </c>
      <c r="E294" s="45" t="s">
        <v>27</v>
      </c>
      <c r="F294" s="45" t="s">
        <v>460</v>
      </c>
      <c r="G294" s="26">
        <v>2400</v>
      </c>
      <c r="H294" s="26">
        <f t="shared" si="4"/>
        <v>1200</v>
      </c>
      <c r="I294" s="56"/>
      <c r="J294" s="46"/>
      <c r="K294" s="16" t="str">
        <f>HYPERLINK("https://www.loqueleo.com/ar/libro/el-monstruo-del-arroyo","VER")</f>
        <v>VER</v>
      </c>
      <c r="L294" s="56">
        <v>2016</v>
      </c>
    </row>
    <row r="295" spans="1:12" ht="12" customHeight="1">
      <c r="A295" s="21">
        <v>61092933</v>
      </c>
      <c r="B295" s="21">
        <v>9789504666950</v>
      </c>
      <c r="C295" s="21" t="s">
        <v>8</v>
      </c>
      <c r="D295" s="22" t="s">
        <v>470</v>
      </c>
      <c r="E295" s="23" t="s">
        <v>163</v>
      </c>
      <c r="F295" s="24" t="s">
        <v>461</v>
      </c>
      <c r="G295" s="25">
        <v>2200</v>
      </c>
      <c r="H295" s="25">
        <f t="shared" si="4"/>
        <v>1100</v>
      </c>
      <c r="I295" s="30"/>
      <c r="J295" s="20" t="s">
        <v>484</v>
      </c>
      <c r="K295" s="29" t="s">
        <v>439</v>
      </c>
      <c r="L295" s="30">
        <v>2022</v>
      </c>
    </row>
    <row r="296" spans="1:12" ht="12" customHeight="1">
      <c r="A296" s="45">
        <v>61069248</v>
      </c>
      <c r="B296" s="44">
        <v>9789504643333</v>
      </c>
      <c r="C296" s="44" t="s">
        <v>8</v>
      </c>
      <c r="D296" s="45" t="s">
        <v>249</v>
      </c>
      <c r="E296" s="45" t="s">
        <v>62</v>
      </c>
      <c r="F296" s="45" t="s">
        <v>461</v>
      </c>
      <c r="G296" s="26">
        <v>2200</v>
      </c>
      <c r="H296" s="26">
        <f t="shared" si="4"/>
        <v>1100</v>
      </c>
      <c r="I296" s="56"/>
      <c r="J296" s="46"/>
      <c r="K296" s="16" t="str">
        <f>HYPERLINK("https://www.loqueleo.com/ar/libro/el-monte-era-una-fiesta","VER")</f>
        <v>VER</v>
      </c>
      <c r="L296" s="56">
        <v>2016</v>
      </c>
    </row>
    <row r="297" spans="1:12" ht="12" customHeight="1">
      <c r="A297" s="45">
        <v>61069971</v>
      </c>
      <c r="B297" s="44">
        <v>9789504646600</v>
      </c>
      <c r="C297" s="44" t="s">
        <v>8</v>
      </c>
      <c r="D297" s="45" t="s">
        <v>250</v>
      </c>
      <c r="E297" s="45" t="s">
        <v>14</v>
      </c>
      <c r="F297" s="45" t="s">
        <v>459</v>
      </c>
      <c r="G297" s="26">
        <v>2600</v>
      </c>
      <c r="H297" s="26">
        <f t="shared" si="4"/>
        <v>1300</v>
      </c>
      <c r="I297" s="56"/>
      <c r="J297" s="46" t="s">
        <v>348</v>
      </c>
      <c r="K297" s="16" t="str">
        <f>HYPERLINK("https://www.loqueleo.com/ar/libro/mucho-perro","VER")</f>
        <v>VER</v>
      </c>
      <c r="L297" s="56">
        <v>2016</v>
      </c>
    </row>
    <row r="298" spans="1:12" ht="12" customHeight="1">
      <c r="A298" s="45">
        <v>61071804</v>
      </c>
      <c r="B298" s="44">
        <v>9789504647812</v>
      </c>
      <c r="C298" s="44" t="s">
        <v>8</v>
      </c>
      <c r="D298" s="45" t="s">
        <v>536</v>
      </c>
      <c r="E298" s="45" t="s">
        <v>52</v>
      </c>
      <c r="F298" s="45" t="s">
        <v>465</v>
      </c>
      <c r="G298" s="26">
        <v>2990</v>
      </c>
      <c r="H298" s="26">
        <f t="shared" si="4"/>
        <v>1495</v>
      </c>
      <c r="I298" s="56"/>
      <c r="J298" s="46"/>
      <c r="K298" s="16" t="str">
        <f>HYPERLINK("https://www.loqueleo.com/ar/libro/el-mundo-de-cinthia-scoch","VER")</f>
        <v>VER</v>
      </c>
      <c r="L298" s="56">
        <v>2017</v>
      </c>
    </row>
    <row r="299" spans="1:12" ht="12" customHeight="1">
      <c r="A299" s="45">
        <v>61082250</v>
      </c>
      <c r="B299" s="44">
        <v>9789504655046</v>
      </c>
      <c r="C299" s="44" t="s">
        <v>8</v>
      </c>
      <c r="D299" s="45" t="s">
        <v>371</v>
      </c>
      <c r="E299" s="45" t="s">
        <v>240</v>
      </c>
      <c r="F299" s="45" t="s">
        <v>462</v>
      </c>
      <c r="G299" s="26">
        <v>2990</v>
      </c>
      <c r="H299" s="26">
        <f t="shared" si="4"/>
        <v>1495</v>
      </c>
      <c r="I299" s="56"/>
      <c r="J299" s="46"/>
      <c r="K299" s="16" t="str">
        <f>HYPERLINK("https://www.loqueleo.com/ar/libro/el-muro","VER")</f>
        <v>VER</v>
      </c>
      <c r="L299" s="56">
        <v>2018</v>
      </c>
    </row>
    <row r="300" spans="1:12" ht="12" customHeight="1">
      <c r="A300" s="45">
        <v>61069282</v>
      </c>
      <c r="B300" s="44">
        <v>9789504643210</v>
      </c>
      <c r="C300" s="44" t="s">
        <v>8</v>
      </c>
      <c r="D300" s="45" t="s">
        <v>251</v>
      </c>
      <c r="E300" s="45" t="s">
        <v>12</v>
      </c>
      <c r="F300" s="45" t="s">
        <v>461</v>
      </c>
      <c r="G300" s="26">
        <v>2400</v>
      </c>
      <c r="H300" s="26">
        <f t="shared" si="4"/>
        <v>1200</v>
      </c>
      <c r="I300" s="56"/>
      <c r="J300" s="46"/>
      <c r="K300" s="16" t="str">
        <f>HYPERLINK("https://www.loqueleo.com/ar/libro/nada-de-tucanes","VER")</f>
        <v>VER</v>
      </c>
      <c r="L300" s="56">
        <v>2016</v>
      </c>
    </row>
    <row r="301" spans="1:12" ht="12" customHeight="1">
      <c r="A301" s="45">
        <v>61069238</v>
      </c>
      <c r="B301" s="44">
        <v>9789504643562</v>
      </c>
      <c r="C301" s="44" t="s">
        <v>8</v>
      </c>
      <c r="D301" s="45" t="s">
        <v>252</v>
      </c>
      <c r="E301" s="45" t="s">
        <v>23</v>
      </c>
      <c r="F301" s="45" t="s">
        <v>462</v>
      </c>
      <c r="G301" s="26">
        <v>2990</v>
      </c>
      <c r="H301" s="26">
        <f t="shared" si="4"/>
        <v>1495</v>
      </c>
      <c r="I301" s="56"/>
      <c r="J301" s="46" t="s">
        <v>348</v>
      </c>
      <c r="K301" s="16" t="str">
        <f>HYPERLINK("https://www.loqueleo.com/ar/libro/nadie-te-creeria","VER")</f>
        <v>VER</v>
      </c>
      <c r="L301" s="56">
        <v>2016</v>
      </c>
    </row>
    <row r="302" spans="1:12" ht="12" customHeight="1">
      <c r="A302" s="45">
        <v>61069239</v>
      </c>
      <c r="B302" s="44">
        <v>9789504643012</v>
      </c>
      <c r="C302" s="44" t="s">
        <v>8</v>
      </c>
      <c r="D302" s="45" t="s">
        <v>253</v>
      </c>
      <c r="E302" s="45" t="s">
        <v>23</v>
      </c>
      <c r="F302" s="45" t="s">
        <v>462</v>
      </c>
      <c r="G302" s="26">
        <v>2990</v>
      </c>
      <c r="H302" s="26">
        <f t="shared" si="4"/>
        <v>1495</v>
      </c>
      <c r="I302" s="56"/>
      <c r="J302" s="46" t="s">
        <v>348</v>
      </c>
      <c r="K302" s="16" t="s">
        <v>439</v>
      </c>
      <c r="L302" s="56">
        <v>2016</v>
      </c>
    </row>
    <row r="303" spans="1:12" ht="12" customHeight="1">
      <c r="A303" s="50">
        <v>61078614</v>
      </c>
      <c r="B303" s="44">
        <v>9789504653028</v>
      </c>
      <c r="C303" s="44" t="s">
        <v>8</v>
      </c>
      <c r="D303" s="50" t="s">
        <v>353</v>
      </c>
      <c r="E303" s="50" t="s">
        <v>23</v>
      </c>
      <c r="F303" s="51" t="s">
        <v>351</v>
      </c>
      <c r="G303" s="13">
        <v>3990</v>
      </c>
      <c r="H303" s="13">
        <f t="shared" si="4"/>
        <v>1995</v>
      </c>
      <c r="I303" s="56"/>
      <c r="J303" s="46" t="s">
        <v>348</v>
      </c>
      <c r="K303" s="16" t="str">
        <f>HYPERLINK("https://www.loqueleo.com/ar/libro/natacha","VER")</f>
        <v>VER</v>
      </c>
      <c r="L303" s="56">
        <v>2017</v>
      </c>
    </row>
    <row r="304" spans="1:12" ht="12" customHeight="1">
      <c r="A304" s="45">
        <v>61069283</v>
      </c>
      <c r="B304" s="44">
        <v>9789504643494</v>
      </c>
      <c r="C304" s="44" t="s">
        <v>8</v>
      </c>
      <c r="D304" s="45" t="s">
        <v>254</v>
      </c>
      <c r="E304" s="45" t="s">
        <v>12</v>
      </c>
      <c r="F304" s="45" t="s">
        <v>462</v>
      </c>
      <c r="G304" s="26">
        <v>2990</v>
      </c>
      <c r="H304" s="26">
        <f t="shared" si="4"/>
        <v>1495</v>
      </c>
      <c r="I304" s="56"/>
      <c r="J304" s="46"/>
      <c r="K304" s="16" t="str">
        <f>HYPERLINK("https://www.loqueleo.com/ar/libro/el-nino-envuelto","VER")</f>
        <v>VER</v>
      </c>
      <c r="L304" s="56">
        <v>2016</v>
      </c>
    </row>
    <row r="305" spans="1:12" ht="12" customHeight="1">
      <c r="A305" s="45">
        <v>61073104</v>
      </c>
      <c r="B305" s="44">
        <v>9789504650881</v>
      </c>
      <c r="C305" s="44" t="s">
        <v>8</v>
      </c>
      <c r="D305" s="45" t="s">
        <v>255</v>
      </c>
      <c r="E305" s="45" t="s">
        <v>23</v>
      </c>
      <c r="F305" s="45" t="s">
        <v>462</v>
      </c>
      <c r="G305" s="26">
        <v>2990</v>
      </c>
      <c r="H305" s="26">
        <f t="shared" si="4"/>
        <v>1495</v>
      </c>
      <c r="I305" s="56"/>
      <c r="J305" s="46"/>
      <c r="K305" s="16" t="str">
        <f>HYPERLINK("https://www.loqueleo.com/ar/libro/ninos-guia-del-usuario-natacha-1","VER")</f>
        <v>VER</v>
      </c>
      <c r="L305" s="56">
        <v>2016</v>
      </c>
    </row>
    <row r="306" spans="1:12" ht="12" customHeight="1">
      <c r="A306" s="50">
        <v>61078622</v>
      </c>
      <c r="B306" s="44">
        <v>9789504653097</v>
      </c>
      <c r="C306" s="44" t="s">
        <v>8</v>
      </c>
      <c r="D306" s="50" t="s">
        <v>360</v>
      </c>
      <c r="E306" s="50" t="s">
        <v>23</v>
      </c>
      <c r="F306" s="51" t="s">
        <v>351</v>
      </c>
      <c r="G306" s="13">
        <v>3990</v>
      </c>
      <c r="H306" s="13">
        <f t="shared" si="4"/>
        <v>1995</v>
      </c>
      <c r="I306" s="56"/>
      <c r="J306" s="46"/>
      <c r="K306" s="16" t="str">
        <f>HYPERLINK("https://www.loqueleo.com/ar/libro/ninos-guia-del-usuario-natacha","VER")</f>
        <v>VER</v>
      </c>
      <c r="L306" s="56">
        <v>2017</v>
      </c>
    </row>
    <row r="307" spans="1:12" s="7" customFormat="1" ht="12" customHeight="1">
      <c r="A307" s="45">
        <v>61071765</v>
      </c>
      <c r="B307" s="44">
        <v>9789504648642</v>
      </c>
      <c r="C307" s="44" t="s">
        <v>8</v>
      </c>
      <c r="D307" s="45" t="s">
        <v>256</v>
      </c>
      <c r="E307" s="45" t="s">
        <v>66</v>
      </c>
      <c r="F307" s="45" t="s">
        <v>460</v>
      </c>
      <c r="G307" s="26">
        <v>2990</v>
      </c>
      <c r="H307" s="26">
        <f t="shared" si="4"/>
        <v>1495</v>
      </c>
      <c r="I307" s="56"/>
      <c r="J307" s="46"/>
      <c r="K307" s="16" t="str">
        <f>HYPERLINK("https://www.loqueleo.com/ar/libro/no-es-facil-ser-watson","VER")</f>
        <v>VER</v>
      </c>
      <c r="L307" s="56">
        <v>2016</v>
      </c>
    </row>
    <row r="308" spans="1:12" ht="12" customHeight="1">
      <c r="A308" s="21">
        <v>61094122</v>
      </c>
      <c r="B308" s="21">
        <v>9789504662082</v>
      </c>
      <c r="C308" s="21" t="s">
        <v>8</v>
      </c>
      <c r="D308" s="22" t="s">
        <v>445</v>
      </c>
      <c r="E308" s="23" t="s">
        <v>28</v>
      </c>
      <c r="F308" s="24" t="s">
        <v>460</v>
      </c>
      <c r="G308" s="25">
        <v>2400</v>
      </c>
      <c r="H308" s="25">
        <f t="shared" si="4"/>
        <v>1200</v>
      </c>
      <c r="I308" s="30"/>
      <c r="J308" s="20" t="s">
        <v>497</v>
      </c>
      <c r="K308" s="29" t="s">
        <v>439</v>
      </c>
      <c r="L308" s="30">
        <v>2021</v>
      </c>
    </row>
    <row r="309" spans="1:12" ht="12" customHeight="1">
      <c r="A309" s="45">
        <v>61071764</v>
      </c>
      <c r="B309" s="44">
        <v>9789504648659</v>
      </c>
      <c r="C309" s="44" t="s">
        <v>8</v>
      </c>
      <c r="D309" s="45" t="s">
        <v>257</v>
      </c>
      <c r="E309" s="45" t="s">
        <v>66</v>
      </c>
      <c r="F309" s="45" t="s">
        <v>460</v>
      </c>
      <c r="G309" s="26">
        <v>2990</v>
      </c>
      <c r="H309" s="26">
        <f t="shared" si="4"/>
        <v>1495</v>
      </c>
      <c r="I309" s="56"/>
      <c r="J309" s="46"/>
      <c r="K309" s="16" t="str">
        <f>HYPERLINK("https://www.loqueleo.com/ar/libro/no-me-digas-bond","VER")</f>
        <v>VER</v>
      </c>
      <c r="L309" s="56">
        <v>2015</v>
      </c>
    </row>
    <row r="310" spans="1:12" ht="12" customHeight="1">
      <c r="A310" s="45">
        <v>61070115</v>
      </c>
      <c r="B310" s="44">
        <v>9789504647010</v>
      </c>
      <c r="C310" s="44" t="s">
        <v>8</v>
      </c>
      <c r="D310" s="45" t="s">
        <v>258</v>
      </c>
      <c r="E310" s="45" t="s">
        <v>12</v>
      </c>
      <c r="F310" s="45" t="s">
        <v>462</v>
      </c>
      <c r="G310" s="26">
        <v>2990</v>
      </c>
      <c r="H310" s="26">
        <f t="shared" si="4"/>
        <v>1495</v>
      </c>
      <c r="I310" s="56"/>
      <c r="J310" s="46"/>
      <c r="K310" s="16" t="str">
        <f>HYPERLINK("https://www.loqueleo.com/ar/libro/no-somos-irrompibles","VER")</f>
        <v>VER</v>
      </c>
      <c r="L310" s="56">
        <v>2016</v>
      </c>
    </row>
    <row r="311" spans="1:12" ht="12" customHeight="1">
      <c r="A311" s="45">
        <v>61069229</v>
      </c>
      <c r="B311" s="44">
        <v>9789504643760</v>
      </c>
      <c r="C311" s="44" t="s">
        <v>8</v>
      </c>
      <c r="D311" s="45" t="s">
        <v>259</v>
      </c>
      <c r="E311" s="45" t="s">
        <v>52</v>
      </c>
      <c r="F311" s="45" t="s">
        <v>460</v>
      </c>
      <c r="G311" s="26">
        <v>2400</v>
      </c>
      <c r="H311" s="26">
        <f t="shared" si="4"/>
        <v>1200</v>
      </c>
      <c r="I311" s="56"/>
      <c r="J311" s="46"/>
      <c r="K311" s="16" t="str">
        <f>HYPERLINK("https://www.loqueleo.com/ar/libro/la-noche-de-los-muertos","VER")</f>
        <v>VER</v>
      </c>
      <c r="L311" s="56">
        <v>2016</v>
      </c>
    </row>
    <row r="312" spans="1:12" s="6" customFormat="1" ht="12" customHeight="1">
      <c r="A312" s="50">
        <v>61078621</v>
      </c>
      <c r="B312" s="44">
        <v>9789504653103</v>
      </c>
      <c r="C312" s="44" t="s">
        <v>8</v>
      </c>
      <c r="D312" s="50" t="s">
        <v>359</v>
      </c>
      <c r="E312" s="50" t="s">
        <v>23</v>
      </c>
      <c r="F312" s="51" t="s">
        <v>351</v>
      </c>
      <c r="G312" s="13">
        <v>3990</v>
      </c>
      <c r="H312" s="13">
        <f t="shared" si="4"/>
        <v>1995</v>
      </c>
      <c r="I312" s="56"/>
      <c r="J312" s="46"/>
      <c r="K312" s="16" t="str">
        <f>HYPERLINK("https://www.loqueleo.com/ar/libro/nuestro-planeta-natacha","VER")</f>
        <v>VER</v>
      </c>
      <c r="L312" s="56">
        <v>2017</v>
      </c>
    </row>
    <row r="313" spans="1:12" ht="12" customHeight="1">
      <c r="A313" s="45">
        <v>61069240</v>
      </c>
      <c r="B313" s="44">
        <v>9789504644187</v>
      </c>
      <c r="C313" s="44" t="s">
        <v>8</v>
      </c>
      <c r="D313" s="45" t="s">
        <v>260</v>
      </c>
      <c r="E313" s="45" t="s">
        <v>23</v>
      </c>
      <c r="F313" s="45" t="s">
        <v>462</v>
      </c>
      <c r="G313" s="26">
        <v>2990</v>
      </c>
      <c r="H313" s="26">
        <f t="shared" si="4"/>
        <v>1495</v>
      </c>
      <c r="I313" s="56"/>
      <c r="J313" s="46"/>
      <c r="K313" s="16" t="str">
        <f>HYPERLINK("https://www.loqueleo.com/ar/libro/nuestro-planeta-natacha-1","VER")</f>
        <v>VER</v>
      </c>
      <c r="L313" s="56">
        <v>2016</v>
      </c>
    </row>
    <row r="314" spans="1:12" ht="12" customHeight="1">
      <c r="A314" s="45">
        <v>61069230</v>
      </c>
      <c r="B314" s="44">
        <v>9789504643777</v>
      </c>
      <c r="C314" s="44" t="s">
        <v>8</v>
      </c>
      <c r="D314" s="45" t="s">
        <v>261</v>
      </c>
      <c r="E314" s="45" t="s">
        <v>52</v>
      </c>
      <c r="F314" s="45" t="s">
        <v>460</v>
      </c>
      <c r="G314" s="26">
        <v>2400</v>
      </c>
      <c r="H314" s="26">
        <f t="shared" si="4"/>
        <v>1200</v>
      </c>
      <c r="I314" s="56"/>
      <c r="J314" s="46"/>
      <c r="K314" s="16" t="str">
        <f>HYPERLINK("https://www.loqueleo.com/ar/libro/ojos-amarillos","VER")</f>
        <v>VER</v>
      </c>
      <c r="L314" s="56">
        <v>2016</v>
      </c>
    </row>
    <row r="315" spans="1:12" ht="12" customHeight="1">
      <c r="A315" s="45">
        <v>61068573</v>
      </c>
      <c r="B315" s="44">
        <v>9789504649106</v>
      </c>
      <c r="C315" s="44" t="s">
        <v>8</v>
      </c>
      <c r="D315" s="45" t="s">
        <v>262</v>
      </c>
      <c r="E315" s="45" t="s">
        <v>208</v>
      </c>
      <c r="F315" s="45" t="s">
        <v>26</v>
      </c>
      <c r="G315" s="26">
        <v>3100</v>
      </c>
      <c r="H315" s="26">
        <f t="shared" si="4"/>
        <v>1550</v>
      </c>
      <c r="I315" s="56"/>
      <c r="J315" s="46"/>
      <c r="K315" s="16" t="str">
        <f>HYPERLINK("https://www.loqueleo.com/ar/libro/los-ojos-de-la-noche","VER")</f>
        <v>VER</v>
      </c>
      <c r="L315" s="56">
        <v>2016</v>
      </c>
    </row>
    <row r="316" spans="1:12" ht="12" customHeight="1">
      <c r="A316" s="45">
        <v>61070076</v>
      </c>
      <c r="B316" s="44">
        <v>9789504644644</v>
      </c>
      <c r="C316" s="44" t="s">
        <v>8</v>
      </c>
      <c r="D316" s="45" t="s">
        <v>263</v>
      </c>
      <c r="E316" s="45" t="s">
        <v>27</v>
      </c>
      <c r="F316" s="45" t="s">
        <v>461</v>
      </c>
      <c r="G316" s="26">
        <v>2200</v>
      </c>
      <c r="H316" s="26">
        <f t="shared" si="4"/>
        <v>1100</v>
      </c>
      <c r="I316" s="56"/>
      <c r="J316" s="46"/>
      <c r="K316" s="16" t="str">
        <f>HYPERLINK("https://www.loqueleo.com/ar/libro/orff-una-aventura-en-la-montana","VER")</f>
        <v>VER</v>
      </c>
      <c r="L316" s="56">
        <v>2017</v>
      </c>
    </row>
    <row r="317" spans="1:12" ht="12" customHeight="1">
      <c r="A317" s="21">
        <v>61097921</v>
      </c>
      <c r="B317" s="21">
        <v>9789504667247</v>
      </c>
      <c r="C317" s="21" t="s">
        <v>8</v>
      </c>
      <c r="D317" s="22" t="s">
        <v>471</v>
      </c>
      <c r="E317" s="23" t="s">
        <v>109</v>
      </c>
      <c r="F317" s="24" t="s">
        <v>26</v>
      </c>
      <c r="G317" s="25">
        <v>3100</v>
      </c>
      <c r="H317" s="25">
        <f t="shared" si="4"/>
        <v>1550</v>
      </c>
      <c r="I317" s="30"/>
      <c r="J317" s="20" t="s">
        <v>484</v>
      </c>
      <c r="K317" s="29" t="s">
        <v>439</v>
      </c>
      <c r="L317" s="30">
        <v>2022</v>
      </c>
    </row>
    <row r="318" spans="1:12" ht="12" customHeight="1">
      <c r="A318" s="45">
        <v>61087667</v>
      </c>
      <c r="B318" s="44">
        <v>9789504658429</v>
      </c>
      <c r="C318" s="44" t="s">
        <v>8</v>
      </c>
      <c r="D318" s="45" t="s">
        <v>414</v>
      </c>
      <c r="E318" s="45" t="s">
        <v>109</v>
      </c>
      <c r="F318" s="45" t="s">
        <v>26</v>
      </c>
      <c r="G318" s="26">
        <v>2890</v>
      </c>
      <c r="H318" s="26">
        <f t="shared" si="4"/>
        <v>1445</v>
      </c>
      <c r="I318" s="56"/>
      <c r="J318" s="46"/>
      <c r="K318" s="16" t="str">
        <f>HYPERLINK("https://www.loqueleo.com/ar/libro/la-otredad","VER")</f>
        <v>VER</v>
      </c>
      <c r="L318" s="56">
        <v>2019</v>
      </c>
    </row>
    <row r="319" spans="1:12" ht="12" customHeight="1">
      <c r="A319" s="45">
        <v>61071806</v>
      </c>
      <c r="B319" s="44">
        <v>9789504648741</v>
      </c>
      <c r="C319" s="44" t="s">
        <v>8</v>
      </c>
      <c r="D319" s="45" t="s">
        <v>264</v>
      </c>
      <c r="E319" s="45" t="s">
        <v>30</v>
      </c>
      <c r="F319" s="45" t="s">
        <v>460</v>
      </c>
      <c r="G319" s="26">
        <v>2990</v>
      </c>
      <c r="H319" s="26">
        <f t="shared" si="4"/>
        <v>1495</v>
      </c>
      <c r="I319" s="56"/>
      <c r="J319" s="46"/>
      <c r="K319" s="16" t="str">
        <f>HYPERLINK("https://www.loqueleo.com/ar/libro/otroso","VER")</f>
        <v>VER</v>
      </c>
      <c r="L319" s="56">
        <v>2016</v>
      </c>
    </row>
    <row r="320" spans="1:12" ht="12" customHeight="1">
      <c r="A320" s="45">
        <v>61070108</v>
      </c>
      <c r="B320" s="44">
        <v>9789504646938</v>
      </c>
      <c r="C320" s="44" t="s">
        <v>8</v>
      </c>
      <c r="D320" s="45" t="s">
        <v>265</v>
      </c>
      <c r="E320" s="45" t="s">
        <v>266</v>
      </c>
      <c r="F320" s="45" t="s">
        <v>462</v>
      </c>
      <c r="G320" s="26">
        <v>2990</v>
      </c>
      <c r="H320" s="26">
        <f t="shared" si="4"/>
        <v>1495</v>
      </c>
      <c r="I320" s="56"/>
      <c r="J320" s="46"/>
      <c r="K320" s="16" t="str">
        <f>HYPERLINK("https://www.loqueleo.com/ar/libro/el-pais-de-las-brujas","VER")</f>
        <v>VER</v>
      </c>
      <c r="L320" s="56">
        <v>2016</v>
      </c>
    </row>
    <row r="321" spans="1:12" ht="12" customHeight="1">
      <c r="A321" s="45">
        <v>61082247</v>
      </c>
      <c r="B321" s="44">
        <v>9789504655039</v>
      </c>
      <c r="C321" s="44" t="s">
        <v>8</v>
      </c>
      <c r="D321" s="45" t="s">
        <v>367</v>
      </c>
      <c r="E321" s="45" t="s">
        <v>44</v>
      </c>
      <c r="F321" s="45" t="s">
        <v>459</v>
      </c>
      <c r="G321" s="26">
        <v>2600</v>
      </c>
      <c r="H321" s="26">
        <f t="shared" si="4"/>
        <v>1300</v>
      </c>
      <c r="I321" s="56"/>
      <c r="J321" s="46"/>
      <c r="K321" s="16" t="str">
        <f>HYPERLINK("https://www.loqueleo.com/ar/libro/para-llegar-hasta-el-sol","VER")</f>
        <v>VER</v>
      </c>
      <c r="L321" s="56">
        <v>2018</v>
      </c>
    </row>
    <row r="322" spans="1:12" ht="12" customHeight="1">
      <c r="A322" s="45">
        <v>61086670</v>
      </c>
      <c r="B322" s="44">
        <v>9789504654131</v>
      </c>
      <c r="C322" s="44" t="s">
        <v>8</v>
      </c>
      <c r="D322" s="45" t="s">
        <v>406</v>
      </c>
      <c r="E322" s="45" t="s">
        <v>30</v>
      </c>
      <c r="F322" s="45" t="s">
        <v>463</v>
      </c>
      <c r="G322" s="26">
        <v>3100</v>
      </c>
      <c r="H322" s="26">
        <f t="shared" si="4"/>
        <v>1550</v>
      </c>
      <c r="I322" s="56"/>
      <c r="J322" s="46"/>
      <c r="K322" s="16" t="str">
        <f>HYPERLINK("https://www.loqueleo.com/ar/libro/el-paraguas-del-mago","VER")</f>
        <v>VER</v>
      </c>
      <c r="L322" s="56">
        <v>2019</v>
      </c>
    </row>
    <row r="323" spans="1:12" ht="12" customHeight="1">
      <c r="A323" s="45">
        <v>61070131</v>
      </c>
      <c r="B323" s="44">
        <v>9789504645696</v>
      </c>
      <c r="C323" s="44" t="s">
        <v>8</v>
      </c>
      <c r="D323" s="45" t="s">
        <v>267</v>
      </c>
      <c r="E323" s="45" t="s">
        <v>71</v>
      </c>
      <c r="F323" s="45" t="s">
        <v>462</v>
      </c>
      <c r="G323" s="26">
        <v>2990</v>
      </c>
      <c r="H323" s="26">
        <f t="shared" si="4"/>
        <v>1495</v>
      </c>
      <c r="I323" s="56"/>
      <c r="J323" s="46"/>
      <c r="K323" s="16" t="str">
        <f>HYPERLINK("https://www.loqueleo.com/ar/libro/paris-ida-y-vuelta","VER")</f>
        <v>VER</v>
      </c>
      <c r="L323" s="56">
        <v>2016</v>
      </c>
    </row>
    <row r="324" spans="1:12" ht="12" customHeight="1">
      <c r="A324" s="45">
        <v>61069985</v>
      </c>
      <c r="B324" s="44">
        <v>9789504646709</v>
      </c>
      <c r="C324" s="44" t="s">
        <v>8</v>
      </c>
      <c r="D324" s="45" t="s">
        <v>268</v>
      </c>
      <c r="E324" s="45" t="s">
        <v>96</v>
      </c>
      <c r="F324" s="45" t="s">
        <v>459</v>
      </c>
      <c r="G324" s="26">
        <v>2600</v>
      </c>
      <c r="H324" s="26">
        <f t="shared" si="4"/>
        <v>1300</v>
      </c>
      <c r="I324" s="56"/>
      <c r="J324" s="46"/>
      <c r="K324" s="16" t="str">
        <f>HYPERLINK("https://www.loqueleo.com/ar/libro/el-paseo-de-los-viejitos","VER")</f>
        <v>VER</v>
      </c>
      <c r="L324" s="56">
        <v>2016</v>
      </c>
    </row>
    <row r="325" spans="1:12" s="6" customFormat="1" ht="12" customHeight="1">
      <c r="A325" s="45">
        <v>61069271</v>
      </c>
      <c r="B325" s="44">
        <v>9789504643487</v>
      </c>
      <c r="C325" s="44" t="s">
        <v>8</v>
      </c>
      <c r="D325" s="45" t="s">
        <v>269</v>
      </c>
      <c r="E325" s="45" t="s">
        <v>11</v>
      </c>
      <c r="F325" s="45" t="s">
        <v>462</v>
      </c>
      <c r="G325" s="26">
        <v>2990</v>
      </c>
      <c r="H325" s="26">
        <f t="shared" si="4"/>
        <v>1495</v>
      </c>
      <c r="I325" s="56"/>
      <c r="J325" s="46"/>
      <c r="K325" s="16" t="s">
        <v>439</v>
      </c>
      <c r="L325" s="56">
        <v>2015</v>
      </c>
    </row>
    <row r="326" spans="1:12" ht="12" customHeight="1">
      <c r="A326" s="45">
        <v>61069233</v>
      </c>
      <c r="B326" s="44">
        <v>9789504643296</v>
      </c>
      <c r="C326" s="44" t="s">
        <v>8</v>
      </c>
      <c r="D326" s="45" t="s">
        <v>270</v>
      </c>
      <c r="E326" s="45" t="s">
        <v>27</v>
      </c>
      <c r="F326" s="45" t="s">
        <v>461</v>
      </c>
      <c r="G326" s="26">
        <v>2200</v>
      </c>
      <c r="H326" s="26">
        <f t="shared" si="4"/>
        <v>1100</v>
      </c>
      <c r="I326" s="56"/>
      <c r="J326" s="46"/>
      <c r="K326" s="16" t="str">
        <f>HYPERLINK("https://www.loqueleo.com/ar/libro/pedro-y-los-lobos","VER")</f>
        <v>VER</v>
      </c>
      <c r="L326" s="56">
        <v>2016</v>
      </c>
    </row>
    <row r="327" spans="1:12" ht="12" customHeight="1">
      <c r="A327" s="21">
        <v>61094284</v>
      </c>
      <c r="B327" s="21">
        <v>9789504662099</v>
      </c>
      <c r="C327" s="21" t="s">
        <v>8</v>
      </c>
      <c r="D327" s="22" t="s">
        <v>443</v>
      </c>
      <c r="E327" s="23" t="s">
        <v>450</v>
      </c>
      <c r="F327" s="24" t="s">
        <v>459</v>
      </c>
      <c r="G327" s="25">
        <v>2600</v>
      </c>
      <c r="H327" s="25">
        <f t="shared" si="4"/>
        <v>1300</v>
      </c>
      <c r="I327" s="30"/>
      <c r="J327" s="20" t="s">
        <v>497</v>
      </c>
      <c r="K327" s="29" t="s">
        <v>439</v>
      </c>
      <c r="L327" s="30">
        <v>2021</v>
      </c>
    </row>
    <row r="328" spans="1:12" ht="12" customHeight="1">
      <c r="A328" s="45">
        <v>61070074</v>
      </c>
      <c r="B328" s="44">
        <v>9789504645184</v>
      </c>
      <c r="C328" s="44" t="s">
        <v>8</v>
      </c>
      <c r="D328" s="45" t="s">
        <v>271</v>
      </c>
      <c r="E328" s="45" t="s">
        <v>52</v>
      </c>
      <c r="F328" s="45" t="s">
        <v>462</v>
      </c>
      <c r="G328" s="26">
        <v>2990</v>
      </c>
      <c r="H328" s="26">
        <f t="shared" si="4"/>
        <v>1495</v>
      </c>
      <c r="I328" s="56"/>
      <c r="J328" s="46"/>
      <c r="K328" s="16" t="str">
        <f>HYPERLINK("https://www.loqueleo.com/ar/libro/perdido-en-la-selva","VER")</f>
        <v>VER</v>
      </c>
      <c r="L328" s="56">
        <v>2016</v>
      </c>
    </row>
    <row r="329" spans="1:12" ht="12" customHeight="1">
      <c r="A329" s="45">
        <v>61069267</v>
      </c>
      <c r="B329" s="44">
        <v>9789504643371</v>
      </c>
      <c r="C329" s="44" t="s">
        <v>8</v>
      </c>
      <c r="D329" s="45" t="s">
        <v>272</v>
      </c>
      <c r="E329" s="45" t="s">
        <v>10</v>
      </c>
      <c r="F329" s="45" t="s">
        <v>461</v>
      </c>
      <c r="G329" s="26">
        <v>2200</v>
      </c>
      <c r="H329" s="26">
        <f aca="true" t="shared" si="5" ref="H329:H392">+G329/2</f>
        <v>1100</v>
      </c>
      <c r="I329" s="56"/>
      <c r="J329" s="46"/>
      <c r="K329" s="16" t="str">
        <f>HYPERLINK("https://www.loqueleo.com/ar/libro/perros-complicados","VER")</f>
        <v>VER</v>
      </c>
      <c r="L329" s="56">
        <v>2015</v>
      </c>
    </row>
    <row r="330" spans="1:12" ht="12" customHeight="1">
      <c r="A330" s="45">
        <v>61070073</v>
      </c>
      <c r="B330" s="44">
        <v>9789504644682</v>
      </c>
      <c r="C330" s="44" t="s">
        <v>8</v>
      </c>
      <c r="D330" s="45" t="s">
        <v>378</v>
      </c>
      <c r="E330" s="45" t="s">
        <v>62</v>
      </c>
      <c r="F330" s="45" t="s">
        <v>461</v>
      </c>
      <c r="G330" s="26">
        <v>2200</v>
      </c>
      <c r="H330" s="26">
        <f t="shared" si="5"/>
        <v>1100</v>
      </c>
      <c r="I330" s="56"/>
      <c r="J330" s="46"/>
      <c r="K330" s="16" t="str">
        <f>HYPERLINK("https://www.loqueleo.com/ar/libro/picardias-en-el-monte","VER")</f>
        <v>VER</v>
      </c>
      <c r="L330" s="56">
        <v>2016</v>
      </c>
    </row>
    <row r="331" spans="1:12" ht="12" customHeight="1">
      <c r="A331" s="45">
        <v>61069217</v>
      </c>
      <c r="B331" s="44">
        <v>9789504643890</v>
      </c>
      <c r="C331" s="44" t="s">
        <v>8</v>
      </c>
      <c r="D331" s="45" t="s">
        <v>273</v>
      </c>
      <c r="E331" s="45" t="s">
        <v>208</v>
      </c>
      <c r="F331" s="45" t="s">
        <v>26</v>
      </c>
      <c r="G331" s="26">
        <v>3100</v>
      </c>
      <c r="H331" s="26">
        <f t="shared" si="5"/>
        <v>1550</v>
      </c>
      <c r="I331" s="56"/>
      <c r="J331" s="46" t="s">
        <v>348</v>
      </c>
      <c r="K331" s="16" t="str">
        <f>HYPERLINK("https://www.loqueleo.com/ar/libro/piedra-papel-o-tijera","VER")</f>
        <v>VER</v>
      </c>
      <c r="L331" s="56">
        <v>2016</v>
      </c>
    </row>
    <row r="332" spans="1:12" s="6" customFormat="1" ht="12" customHeight="1">
      <c r="A332" s="45">
        <v>61072273</v>
      </c>
      <c r="B332" s="44">
        <v>9789504650348</v>
      </c>
      <c r="C332" s="44" t="s">
        <v>8</v>
      </c>
      <c r="D332" s="45" t="s">
        <v>366</v>
      </c>
      <c r="E332" s="45" t="s">
        <v>30</v>
      </c>
      <c r="F332" s="45" t="s">
        <v>463</v>
      </c>
      <c r="G332" s="26">
        <v>2700</v>
      </c>
      <c r="H332" s="26">
        <f t="shared" si="5"/>
        <v>1350</v>
      </c>
      <c r="I332" s="56"/>
      <c r="J332" s="46"/>
      <c r="K332" s="16" t="str">
        <f>HYPERLINK("https://www.loqueleo.com/ar/libro/la-pipa-del-abuelo","VER")</f>
        <v>VER</v>
      </c>
      <c r="L332" s="56">
        <v>2016</v>
      </c>
    </row>
    <row r="333" spans="1:12" ht="12" customHeight="1">
      <c r="A333" s="45">
        <v>61086588</v>
      </c>
      <c r="B333" s="44">
        <v>9789504657934</v>
      </c>
      <c r="C333" s="44" t="s">
        <v>8</v>
      </c>
      <c r="D333" s="45" t="s">
        <v>401</v>
      </c>
      <c r="E333" s="45" t="s">
        <v>96</v>
      </c>
      <c r="F333" s="45" t="s">
        <v>465</v>
      </c>
      <c r="G333" s="26">
        <v>2990</v>
      </c>
      <c r="H333" s="26">
        <f t="shared" si="5"/>
        <v>1495</v>
      </c>
      <c r="I333" s="56"/>
      <c r="J333" s="46"/>
      <c r="K333" s="16" t="str">
        <f>HYPERLINK("https://www.loqueleo.com/ar/libro/la-planta-de-bartolo","VER")</f>
        <v>VER</v>
      </c>
      <c r="L333" s="56">
        <v>2019</v>
      </c>
    </row>
    <row r="334" spans="1:12" ht="12" customHeight="1">
      <c r="A334" s="45">
        <v>61070064</v>
      </c>
      <c r="B334" s="44">
        <v>9789504645818</v>
      </c>
      <c r="C334" s="44" t="s">
        <v>8</v>
      </c>
      <c r="D334" s="45" t="s">
        <v>274</v>
      </c>
      <c r="E334" s="45" t="s">
        <v>109</v>
      </c>
      <c r="F334" s="45" t="s">
        <v>461</v>
      </c>
      <c r="G334" s="26">
        <v>2200</v>
      </c>
      <c r="H334" s="26">
        <f t="shared" si="5"/>
        <v>1100</v>
      </c>
      <c r="I334" s="56"/>
      <c r="J334" s="46"/>
      <c r="K334" s="16" t="str">
        <f>HYPERLINK("https://www.loqueleo.com/ar/libro/poesia-para-chicos","VER")</f>
        <v>VER</v>
      </c>
      <c r="L334" s="56">
        <v>2016</v>
      </c>
    </row>
    <row r="335" spans="1:12" ht="12" customHeight="1">
      <c r="A335" s="45">
        <v>61075604</v>
      </c>
      <c r="B335" s="44">
        <v>9789504652472</v>
      </c>
      <c r="C335" s="44" t="s">
        <v>8</v>
      </c>
      <c r="D335" s="45" t="s">
        <v>436</v>
      </c>
      <c r="E335" s="45" t="s">
        <v>30</v>
      </c>
      <c r="F335" s="45" t="s">
        <v>463</v>
      </c>
      <c r="G335" s="26">
        <v>3100</v>
      </c>
      <c r="H335" s="26">
        <f t="shared" si="5"/>
        <v>1550</v>
      </c>
      <c r="I335" s="56"/>
      <c r="J335" s="46"/>
      <c r="K335" s="16" t="str">
        <f>HYPERLINK("https://www.loqueleo.com/ar/libro/un-poquito-de-arcoiris","VER")</f>
        <v>VER</v>
      </c>
      <c r="L335" s="56">
        <v>2017</v>
      </c>
    </row>
    <row r="336" spans="1:12" ht="12" customHeight="1">
      <c r="A336" s="45">
        <v>61086688</v>
      </c>
      <c r="B336" s="44">
        <v>9789504656500</v>
      </c>
      <c r="C336" s="44" t="s">
        <v>8</v>
      </c>
      <c r="D336" s="45" t="s">
        <v>405</v>
      </c>
      <c r="E336" s="45" t="s">
        <v>30</v>
      </c>
      <c r="F336" s="45" t="s">
        <v>463</v>
      </c>
      <c r="G336" s="26">
        <v>3100</v>
      </c>
      <c r="H336" s="26">
        <f t="shared" si="5"/>
        <v>1550</v>
      </c>
      <c r="I336" s="56"/>
      <c r="J336" s="46"/>
      <c r="K336" s="16" t="str">
        <f>HYPERLINK("https://www.loqueleo.com/ar/libro/un-pozo-muy-hondo","VER")</f>
        <v>VER</v>
      </c>
      <c r="L336" s="56">
        <v>2019</v>
      </c>
    </row>
    <row r="337" spans="1:12" ht="12" customHeight="1">
      <c r="A337" s="48">
        <v>61082047</v>
      </c>
      <c r="B337" s="49">
        <v>9789504653851</v>
      </c>
      <c r="C337" s="49" t="s">
        <v>8</v>
      </c>
      <c r="D337" s="53" t="s">
        <v>362</v>
      </c>
      <c r="E337" s="53" t="s">
        <v>48</v>
      </c>
      <c r="F337" s="45" t="s">
        <v>26</v>
      </c>
      <c r="G337" s="26">
        <v>3100</v>
      </c>
      <c r="H337" s="26">
        <f t="shared" si="5"/>
        <v>1550</v>
      </c>
      <c r="I337" s="57"/>
      <c r="J337" s="46"/>
      <c r="K337" s="16" t="str">
        <f>HYPERLINK("https://www.loqueleo.com/ar/libro/el-puente-de-la-soledad","VER")</f>
        <v>VER</v>
      </c>
      <c r="L337" s="57">
        <v>2017</v>
      </c>
    </row>
    <row r="338" spans="1:12" ht="12" customHeight="1">
      <c r="A338" s="45">
        <v>61068641</v>
      </c>
      <c r="B338" s="44">
        <v>9789504649373</v>
      </c>
      <c r="C338" s="44" t="s">
        <v>8</v>
      </c>
      <c r="D338" s="45" t="s">
        <v>275</v>
      </c>
      <c r="E338" s="45" t="s">
        <v>131</v>
      </c>
      <c r="F338" s="45" t="s">
        <v>462</v>
      </c>
      <c r="G338" s="26">
        <v>2990</v>
      </c>
      <c r="H338" s="26">
        <f t="shared" si="5"/>
        <v>1495</v>
      </c>
      <c r="I338" s="56"/>
      <c r="J338" s="46"/>
      <c r="K338" s="16" t="str">
        <f>HYPERLINK("https://www.loqueleo.com/ar/libro/la-puerta-secreta","VER")</f>
        <v>VER</v>
      </c>
      <c r="L338" s="56">
        <v>2016</v>
      </c>
    </row>
    <row r="339" spans="1:12" ht="12" customHeight="1">
      <c r="A339" s="45">
        <v>61069999</v>
      </c>
      <c r="B339" s="44">
        <v>9789504646952</v>
      </c>
      <c r="C339" s="44" t="s">
        <v>8</v>
      </c>
      <c r="D339" s="45" t="s">
        <v>276</v>
      </c>
      <c r="E339" s="45" t="s">
        <v>62</v>
      </c>
      <c r="F339" s="45" t="s">
        <v>459</v>
      </c>
      <c r="G339" s="26">
        <v>2600</v>
      </c>
      <c r="H339" s="26">
        <f t="shared" si="5"/>
        <v>1300</v>
      </c>
      <c r="I339" s="56"/>
      <c r="J339" s="46"/>
      <c r="K339" s="16" t="str">
        <f>HYPERLINK("https://www.loqueleo.com/ar/libro/las-pulgas-no-andan-por-las-ramas","VER")</f>
        <v>VER</v>
      </c>
      <c r="L339" s="56">
        <v>2017</v>
      </c>
    </row>
    <row r="340" spans="1:12" ht="12" customHeight="1">
      <c r="A340" s="45">
        <v>61069965</v>
      </c>
      <c r="B340" s="44">
        <v>9789504646860</v>
      </c>
      <c r="C340" s="44" t="s">
        <v>8</v>
      </c>
      <c r="D340" s="45" t="s">
        <v>277</v>
      </c>
      <c r="E340" s="45" t="s">
        <v>52</v>
      </c>
      <c r="F340" s="45" t="s">
        <v>459</v>
      </c>
      <c r="G340" s="26">
        <v>2600</v>
      </c>
      <c r="H340" s="26">
        <f t="shared" si="5"/>
        <v>1300</v>
      </c>
      <c r="I340" s="56"/>
      <c r="J340" s="46"/>
      <c r="K340" s="16" t="str">
        <f>HYPERLINK("https://www.loqueleo.com/ar/libro/pulgoso","VER")</f>
        <v>VER</v>
      </c>
      <c r="L340" s="56">
        <v>2015</v>
      </c>
    </row>
    <row r="341" spans="1:12" ht="12" customHeight="1">
      <c r="A341" s="45">
        <v>61069241</v>
      </c>
      <c r="B341" s="44">
        <v>9789504643319</v>
      </c>
      <c r="C341" s="44" t="s">
        <v>8</v>
      </c>
      <c r="D341" s="45" t="s">
        <v>278</v>
      </c>
      <c r="E341" s="45" t="s">
        <v>23</v>
      </c>
      <c r="F341" s="45" t="s">
        <v>461</v>
      </c>
      <c r="G341" s="26">
        <v>2400</v>
      </c>
      <c r="H341" s="26">
        <f t="shared" si="5"/>
        <v>1200</v>
      </c>
      <c r="I341" s="56"/>
      <c r="J341" s="46"/>
      <c r="K341" s="16" t="str">
        <f>HYPERLINK("https://www.loqueleo.com/ar/libro/el-pulpo-esta-crudo","VER")</f>
        <v>VER</v>
      </c>
      <c r="L341" s="56">
        <v>2016</v>
      </c>
    </row>
    <row r="342" spans="1:12" ht="12" customHeight="1">
      <c r="A342" s="45">
        <v>61070100</v>
      </c>
      <c r="B342" s="44">
        <v>9789504644088</v>
      </c>
      <c r="C342" s="44" t="s">
        <v>8</v>
      </c>
      <c r="D342" s="45" t="s">
        <v>537</v>
      </c>
      <c r="E342" s="45" t="s">
        <v>12</v>
      </c>
      <c r="F342" s="45" t="s">
        <v>461</v>
      </c>
      <c r="G342" s="26">
        <v>2200</v>
      </c>
      <c r="H342" s="26">
        <f t="shared" si="5"/>
        <v>1100</v>
      </c>
      <c r="I342" s="56"/>
      <c r="J342" s="46"/>
      <c r="K342" s="16" t="str">
        <f>HYPERLINK("https://www.loqueleo.com/ar/libro/puro-ojos","VER")</f>
        <v>VER</v>
      </c>
      <c r="L342" s="56">
        <v>2016</v>
      </c>
    </row>
    <row r="343" spans="1:12" ht="12" customHeight="1">
      <c r="A343" s="45">
        <v>61069202</v>
      </c>
      <c r="B343" s="44">
        <v>9789504643159</v>
      </c>
      <c r="C343" s="44" t="s">
        <v>8</v>
      </c>
      <c r="D343" s="45" t="s">
        <v>279</v>
      </c>
      <c r="E343" s="45" t="s">
        <v>43</v>
      </c>
      <c r="F343" s="45" t="s">
        <v>461</v>
      </c>
      <c r="G343" s="26">
        <v>2400</v>
      </c>
      <c r="H343" s="26">
        <f t="shared" si="5"/>
        <v>1200</v>
      </c>
      <c r="I343" s="56"/>
      <c r="J343" s="46"/>
      <c r="K343" s="16" t="str">
        <f>HYPERLINK("https://www.loqueleo.com/ar/libro/que-sea-la-odisea","VER")</f>
        <v>VER</v>
      </c>
      <c r="L343" s="56">
        <v>2016</v>
      </c>
    </row>
    <row r="344" spans="1:12" ht="12" customHeight="1">
      <c r="A344" s="45">
        <v>61069290</v>
      </c>
      <c r="B344" s="44">
        <v>9789504643449</v>
      </c>
      <c r="C344" s="44" t="s">
        <v>8</v>
      </c>
      <c r="D344" s="45" t="s">
        <v>280</v>
      </c>
      <c r="E344" s="45" t="s">
        <v>105</v>
      </c>
      <c r="F344" s="45" t="s">
        <v>463</v>
      </c>
      <c r="G344" s="26">
        <v>2200</v>
      </c>
      <c r="H344" s="26">
        <f t="shared" si="5"/>
        <v>1100</v>
      </c>
      <c r="I344" s="56"/>
      <c r="J344" s="46"/>
      <c r="K344" s="16" t="str">
        <f>HYPERLINK("https://www.loqueleo.com/ar/libro/que-sorpresa-tomasito","VER")</f>
        <v>VER</v>
      </c>
      <c r="L344" s="56">
        <v>2016</v>
      </c>
    </row>
    <row r="345" spans="1:12" ht="12" customHeight="1">
      <c r="A345" s="45">
        <v>61070126</v>
      </c>
      <c r="B345" s="44">
        <v>9789504647195</v>
      </c>
      <c r="C345" s="44" t="s">
        <v>8</v>
      </c>
      <c r="D345" s="45" t="s">
        <v>281</v>
      </c>
      <c r="E345" s="45" t="s">
        <v>23</v>
      </c>
      <c r="F345" s="45" t="s">
        <v>462</v>
      </c>
      <c r="G345" s="26">
        <v>2990</v>
      </c>
      <c r="H345" s="26">
        <f t="shared" si="5"/>
        <v>1495</v>
      </c>
      <c r="I345" s="56"/>
      <c r="J345" s="46"/>
      <c r="K345" s="16" t="str">
        <f>HYPERLINK("https://www.loqueleo.com/ar/libro/querido-diario-natacha-1","VER")</f>
        <v>VER</v>
      </c>
      <c r="L345" s="56">
        <v>2015</v>
      </c>
    </row>
    <row r="346" spans="1:12" ht="12" customHeight="1">
      <c r="A346" s="50">
        <v>61078617</v>
      </c>
      <c r="B346" s="44">
        <v>9789504653073</v>
      </c>
      <c r="C346" s="44" t="s">
        <v>8</v>
      </c>
      <c r="D346" s="50" t="s">
        <v>356</v>
      </c>
      <c r="E346" s="50" t="s">
        <v>23</v>
      </c>
      <c r="F346" s="51" t="s">
        <v>351</v>
      </c>
      <c r="G346" s="13">
        <v>3990</v>
      </c>
      <c r="H346" s="13">
        <f t="shared" si="5"/>
        <v>1995</v>
      </c>
      <c r="I346" s="56"/>
      <c r="J346" s="46"/>
      <c r="K346" s="16" t="str">
        <f>HYPERLINK("https://www.loqueleo.com/ar/libro/querido-diario-natacha","VER")</f>
        <v>VER</v>
      </c>
      <c r="L346" s="56">
        <v>2017</v>
      </c>
    </row>
    <row r="347" spans="1:12" s="7" customFormat="1" ht="12" customHeight="1">
      <c r="A347" s="45">
        <v>61069259</v>
      </c>
      <c r="B347" s="44">
        <v>9789504643609</v>
      </c>
      <c r="C347" s="44" t="s">
        <v>8</v>
      </c>
      <c r="D347" s="45" t="s">
        <v>282</v>
      </c>
      <c r="E347" s="45" t="s">
        <v>84</v>
      </c>
      <c r="F347" s="45" t="s">
        <v>462</v>
      </c>
      <c r="G347" s="26">
        <v>2990</v>
      </c>
      <c r="H347" s="26">
        <f t="shared" si="5"/>
        <v>1495</v>
      </c>
      <c r="I347" s="56"/>
      <c r="J347" s="46"/>
      <c r="K347" s="16" t="str">
        <f>HYPERLINK("https://www.loqueleo.com/ar/libro/querido-hijo-estamos-en-huelga","VER")</f>
        <v>VER</v>
      </c>
      <c r="L347" s="56">
        <v>2016</v>
      </c>
    </row>
    <row r="348" spans="1:12" ht="12" customHeight="1">
      <c r="A348" s="45">
        <v>61069260</v>
      </c>
      <c r="B348" s="44">
        <v>9789504643616</v>
      </c>
      <c r="C348" s="44" t="s">
        <v>8</v>
      </c>
      <c r="D348" s="45" t="s">
        <v>283</v>
      </c>
      <c r="E348" s="45" t="s">
        <v>84</v>
      </c>
      <c r="F348" s="45" t="s">
        <v>462</v>
      </c>
      <c r="G348" s="26">
        <v>2990</v>
      </c>
      <c r="H348" s="26">
        <f t="shared" si="5"/>
        <v>1495</v>
      </c>
      <c r="I348" s="56"/>
      <c r="J348" s="46"/>
      <c r="K348" s="16" t="str">
        <f>HYPERLINK("https://www.loqueleo.com/ar/libro/querido-hijo-estas-despedido","VER")</f>
        <v>VER</v>
      </c>
      <c r="L348" s="56">
        <v>2016</v>
      </c>
    </row>
    <row r="349" spans="1:12" ht="12" customHeight="1">
      <c r="A349" s="45">
        <v>61088617</v>
      </c>
      <c r="B349" s="44">
        <v>9789504658412</v>
      </c>
      <c r="C349" s="44" t="s">
        <v>8</v>
      </c>
      <c r="D349" s="45" t="s">
        <v>411</v>
      </c>
      <c r="E349" s="45" t="s">
        <v>84</v>
      </c>
      <c r="F349" s="45" t="s">
        <v>462</v>
      </c>
      <c r="G349" s="26">
        <v>2990</v>
      </c>
      <c r="H349" s="26">
        <f t="shared" si="5"/>
        <v>1495</v>
      </c>
      <c r="I349" s="56"/>
      <c r="J349" s="46"/>
      <c r="K349" s="16" t="str">
        <f>HYPERLINK("https://www.loqueleo.com/ar/libro/querido-hijo-te-vas-con-los-abuelos","VER")</f>
        <v>VER</v>
      </c>
      <c r="L349" s="56">
        <v>2019</v>
      </c>
    </row>
    <row r="350" spans="1:12" ht="12" customHeight="1">
      <c r="A350" s="45">
        <v>61085516</v>
      </c>
      <c r="B350" s="44">
        <v>9789504656593</v>
      </c>
      <c r="C350" s="44" t="s">
        <v>8</v>
      </c>
      <c r="D350" s="45" t="s">
        <v>390</v>
      </c>
      <c r="E350" s="45" t="s">
        <v>84</v>
      </c>
      <c r="F350" s="45" t="s">
        <v>462</v>
      </c>
      <c r="G350" s="26">
        <v>2990</v>
      </c>
      <c r="H350" s="26">
        <f t="shared" si="5"/>
        <v>1495</v>
      </c>
      <c r="I350" s="56"/>
      <c r="J350" s="46"/>
      <c r="K350" s="16" t="str">
        <f>HYPERLINK("https://www.loqueleo.com/ar/libro/querido-hijo-tienes-cuatro-padres","VER")</f>
        <v>VER</v>
      </c>
      <c r="L350" s="56">
        <v>2018</v>
      </c>
    </row>
    <row r="351" spans="1:12" ht="12" customHeight="1">
      <c r="A351" s="45">
        <v>61069284</v>
      </c>
      <c r="B351" s="44">
        <v>9789504643500</v>
      </c>
      <c r="C351" s="44" t="s">
        <v>8</v>
      </c>
      <c r="D351" s="45" t="s">
        <v>284</v>
      </c>
      <c r="E351" s="45" t="s">
        <v>12</v>
      </c>
      <c r="F351" s="45" t="s">
        <v>462</v>
      </c>
      <c r="G351" s="26">
        <v>2990</v>
      </c>
      <c r="H351" s="26">
        <f t="shared" si="5"/>
        <v>1495</v>
      </c>
      <c r="I351" s="56"/>
      <c r="J351" s="46"/>
      <c r="K351" s="16" t="str">
        <f>HYPERLINK("https://www.loqueleo.com/ar/libro/queridos-monstruos","VER")</f>
        <v>VER</v>
      </c>
      <c r="L351" s="56">
        <v>2016</v>
      </c>
    </row>
    <row r="352" spans="1:12" ht="12" customHeight="1">
      <c r="A352" s="45">
        <v>61082252</v>
      </c>
      <c r="B352" s="44">
        <v>9789504655053</v>
      </c>
      <c r="C352" s="44" t="s">
        <v>8</v>
      </c>
      <c r="D352" s="45" t="s">
        <v>373</v>
      </c>
      <c r="E352" s="45" t="s">
        <v>370</v>
      </c>
      <c r="F352" s="45" t="s">
        <v>26</v>
      </c>
      <c r="G352" s="26">
        <v>3100</v>
      </c>
      <c r="H352" s="26">
        <f t="shared" si="5"/>
        <v>1550</v>
      </c>
      <c r="I352" s="56"/>
      <c r="J352" s="46" t="s">
        <v>348</v>
      </c>
      <c r="K352" s="16" t="str">
        <f>HYPERLINK("https://www.loqueleo.com/ar/libro/quizas-en-el-tren","VER")</f>
        <v>VER</v>
      </c>
      <c r="L352" s="56">
        <v>2018</v>
      </c>
    </row>
    <row r="353" spans="1:12" ht="12" customHeight="1">
      <c r="A353" s="45">
        <v>61070082</v>
      </c>
      <c r="B353" s="44">
        <v>9789504645191</v>
      </c>
      <c r="C353" s="44" t="s">
        <v>8</v>
      </c>
      <c r="D353" s="45" t="s">
        <v>285</v>
      </c>
      <c r="E353" s="45" t="s">
        <v>286</v>
      </c>
      <c r="F353" s="45" t="s">
        <v>462</v>
      </c>
      <c r="G353" s="26">
        <v>2990</v>
      </c>
      <c r="H353" s="26">
        <f t="shared" si="5"/>
        <v>1495</v>
      </c>
      <c r="I353" s="56"/>
      <c r="J353" s="46"/>
      <c r="K353" s="16" t="str">
        <f>HYPERLINK("https://www.loqueleo.com/ar/libro/raros-peinados","VER")</f>
        <v>VER</v>
      </c>
      <c r="L353" s="56">
        <v>2015</v>
      </c>
    </row>
    <row r="354" spans="1:12" ht="12" customHeight="1">
      <c r="A354" s="45">
        <v>61069214</v>
      </c>
      <c r="B354" s="44">
        <v>9789504644170</v>
      </c>
      <c r="C354" s="44" t="s">
        <v>8</v>
      </c>
      <c r="D354" s="45" t="s">
        <v>287</v>
      </c>
      <c r="E354" s="45" t="s">
        <v>66</v>
      </c>
      <c r="F354" s="45" t="s">
        <v>462</v>
      </c>
      <c r="G354" s="26">
        <v>2400</v>
      </c>
      <c r="H354" s="26">
        <f t="shared" si="5"/>
        <v>1200</v>
      </c>
      <c r="I354" s="56"/>
      <c r="J354" s="46"/>
      <c r="K354" s="16" t="s">
        <v>439</v>
      </c>
      <c r="L354" s="56">
        <v>2015</v>
      </c>
    </row>
    <row r="355" spans="1:12" ht="12" customHeight="1">
      <c r="A355" s="45">
        <v>61070106</v>
      </c>
      <c r="B355" s="44">
        <v>9789504647119</v>
      </c>
      <c r="C355" s="44" t="s">
        <v>8</v>
      </c>
      <c r="D355" s="45" t="s">
        <v>288</v>
      </c>
      <c r="E355" s="45" t="s">
        <v>52</v>
      </c>
      <c r="F355" s="45" t="s">
        <v>462</v>
      </c>
      <c r="G355" s="26">
        <v>2400</v>
      </c>
      <c r="H355" s="26">
        <f t="shared" si="5"/>
        <v>1200</v>
      </c>
      <c r="I355" s="56"/>
      <c r="J355" s="46"/>
      <c r="K355" s="16" t="str">
        <f>HYPERLINK("https://www.loqueleo.com/ar/libro/recuerdos-de-locosmos","VER")</f>
        <v>VER</v>
      </c>
      <c r="L355" s="56">
        <v>2016</v>
      </c>
    </row>
    <row r="356" spans="1:12" ht="12" customHeight="1">
      <c r="A356" s="45">
        <v>61070054</v>
      </c>
      <c r="B356" s="44">
        <v>9789504645764</v>
      </c>
      <c r="C356" s="44" t="s">
        <v>8</v>
      </c>
      <c r="D356" s="45" t="s">
        <v>289</v>
      </c>
      <c r="E356" s="45" t="s">
        <v>52</v>
      </c>
      <c r="F356" s="45" t="s">
        <v>462</v>
      </c>
      <c r="G356" s="26">
        <v>2990</v>
      </c>
      <c r="H356" s="26">
        <f t="shared" si="5"/>
        <v>1495</v>
      </c>
      <c r="I356" s="56"/>
      <c r="J356" s="46"/>
      <c r="K356" s="16" t="str">
        <f>HYPERLINK("https://www.loqueleo.com/ar/libro/regreso-a-la-casa-maldita","VER")</f>
        <v>VER</v>
      </c>
      <c r="L356" s="56">
        <v>2017</v>
      </c>
    </row>
    <row r="357" spans="1:12" ht="12" customHeight="1">
      <c r="A357" s="45">
        <v>61075661</v>
      </c>
      <c r="B357" s="44">
        <v>9789504651956</v>
      </c>
      <c r="C357" s="44" t="s">
        <v>8</v>
      </c>
      <c r="D357" s="45" t="s">
        <v>538</v>
      </c>
      <c r="E357" s="45" t="s">
        <v>19</v>
      </c>
      <c r="F357" s="45" t="s">
        <v>26</v>
      </c>
      <c r="G357" s="26">
        <v>3100</v>
      </c>
      <c r="H357" s="26">
        <f t="shared" si="5"/>
        <v>1550</v>
      </c>
      <c r="I357" s="56"/>
      <c r="J357" s="46"/>
      <c r="K357" s="16" t="str">
        <f>HYPERLINK("https://www.loqueleo.com/ar/libro/relatos-escalofriantes","VER")</f>
        <v>VER</v>
      </c>
      <c r="L357" s="56">
        <v>2016</v>
      </c>
    </row>
    <row r="358" spans="1:12" ht="12" customHeight="1">
      <c r="A358" s="45">
        <v>61090744</v>
      </c>
      <c r="B358" s="44">
        <v>9789504660378</v>
      </c>
      <c r="C358" s="44" t="s">
        <v>8</v>
      </c>
      <c r="D358" s="45" t="s">
        <v>442</v>
      </c>
      <c r="E358" s="45" t="s">
        <v>66</v>
      </c>
      <c r="F358" s="45" t="s">
        <v>26</v>
      </c>
      <c r="G358" s="26">
        <v>3100</v>
      </c>
      <c r="H358" s="26">
        <f t="shared" si="5"/>
        <v>1550</v>
      </c>
      <c r="I358" s="56"/>
      <c r="J358" s="46"/>
      <c r="K358" s="16" t="s">
        <v>439</v>
      </c>
      <c r="L358" s="56">
        <v>2020</v>
      </c>
    </row>
    <row r="359" spans="1:12" ht="12" customHeight="1">
      <c r="A359" s="45">
        <v>61070063</v>
      </c>
      <c r="B359" s="44">
        <v>9789504647164</v>
      </c>
      <c r="C359" s="44" t="s">
        <v>8</v>
      </c>
      <c r="D359" s="45" t="s">
        <v>290</v>
      </c>
      <c r="E359" s="45" t="s">
        <v>52</v>
      </c>
      <c r="F359" s="45" t="s">
        <v>462</v>
      </c>
      <c r="G359" s="26">
        <v>2400</v>
      </c>
      <c r="H359" s="26">
        <f t="shared" si="5"/>
        <v>1200</v>
      </c>
      <c r="I359" s="56"/>
      <c r="J359" s="46"/>
      <c r="K359" s="16" t="str">
        <f>HYPERLINK("https://www.loqueleo.com/ar/libro/la-revolucion","VER")</f>
        <v>VER</v>
      </c>
      <c r="L359" s="56">
        <v>2017</v>
      </c>
    </row>
    <row r="360" spans="1:12" ht="12" customHeight="1">
      <c r="A360" s="45">
        <v>61070091</v>
      </c>
      <c r="B360" s="44">
        <v>9789504645207</v>
      </c>
      <c r="C360" s="44" t="s">
        <v>8</v>
      </c>
      <c r="D360" s="45" t="s">
        <v>291</v>
      </c>
      <c r="E360" s="45" t="s">
        <v>52</v>
      </c>
      <c r="F360" s="45" t="s">
        <v>462</v>
      </c>
      <c r="G360" s="26">
        <v>2400</v>
      </c>
      <c r="H360" s="26">
        <f t="shared" si="5"/>
        <v>1200</v>
      </c>
      <c r="I360" s="56"/>
      <c r="J360" s="46"/>
      <c r="K360" s="16" t="str">
        <f>HYPERLINK("https://www.loqueleo.com/ar/libro/roco-y-sus-hermanas","VER")</f>
        <v>VER</v>
      </c>
      <c r="L360" s="56">
        <v>2016</v>
      </c>
    </row>
    <row r="361" spans="1:12" ht="12" customHeight="1">
      <c r="A361" s="45">
        <v>61090165</v>
      </c>
      <c r="B361" s="44">
        <v>9789504659679</v>
      </c>
      <c r="C361" s="44" t="s">
        <v>8</v>
      </c>
      <c r="D361" s="45" t="s">
        <v>440</v>
      </c>
      <c r="E361" s="45" t="s">
        <v>74</v>
      </c>
      <c r="F361" s="45" t="s">
        <v>459</v>
      </c>
      <c r="G361" s="26">
        <v>2600</v>
      </c>
      <c r="H361" s="26">
        <f t="shared" si="5"/>
        <v>1300</v>
      </c>
      <c r="I361" s="56"/>
      <c r="J361" s="46"/>
      <c r="K361" s="16" t="s">
        <v>439</v>
      </c>
      <c r="L361" s="56">
        <v>2020</v>
      </c>
    </row>
    <row r="362" spans="1:12" ht="12" customHeight="1">
      <c r="A362" s="45">
        <v>61071842</v>
      </c>
      <c r="B362" s="44">
        <v>9789504648192</v>
      </c>
      <c r="C362" s="44" t="s">
        <v>8</v>
      </c>
      <c r="D362" s="45" t="s">
        <v>292</v>
      </c>
      <c r="E362" s="45" t="s">
        <v>183</v>
      </c>
      <c r="F362" s="45" t="s">
        <v>26</v>
      </c>
      <c r="G362" s="26">
        <v>2890</v>
      </c>
      <c r="H362" s="26">
        <f t="shared" si="5"/>
        <v>1445</v>
      </c>
      <c r="I362" s="56"/>
      <c r="J362" s="46"/>
      <c r="K362" s="16" t="str">
        <f>HYPERLINK("https://www.loqueleo.com/ar/libro/romeo-y-julieta","VER")</f>
        <v>VER</v>
      </c>
      <c r="L362" s="56">
        <v>2016</v>
      </c>
    </row>
    <row r="363" spans="1:12" ht="12" customHeight="1">
      <c r="A363" s="45">
        <v>61071800</v>
      </c>
      <c r="B363" s="44">
        <v>9789504648734</v>
      </c>
      <c r="C363" s="44" t="s">
        <v>8</v>
      </c>
      <c r="D363" s="45" t="s">
        <v>293</v>
      </c>
      <c r="E363" s="45" t="s">
        <v>294</v>
      </c>
      <c r="F363" s="45" t="s">
        <v>460</v>
      </c>
      <c r="G363" s="26">
        <v>2990</v>
      </c>
      <c r="H363" s="26">
        <f t="shared" si="5"/>
        <v>1495</v>
      </c>
      <c r="I363" s="56"/>
      <c r="J363" s="46" t="s">
        <v>348</v>
      </c>
      <c r="K363" s="16" t="str">
        <f>HYPERLINK("https://www.loqueleo.com/ar/libro/rompecabezas","VER")</f>
        <v>VER</v>
      </c>
      <c r="L363" s="56">
        <v>2016</v>
      </c>
    </row>
    <row r="364" spans="1:12" ht="12" customHeight="1">
      <c r="A364" s="45">
        <v>61089589</v>
      </c>
      <c r="B364" s="44">
        <v>9789504658832</v>
      </c>
      <c r="C364" s="44" t="s">
        <v>8</v>
      </c>
      <c r="D364" s="45" t="s">
        <v>423</v>
      </c>
      <c r="E364" s="45" t="s">
        <v>422</v>
      </c>
      <c r="F364" s="45" t="s">
        <v>462</v>
      </c>
      <c r="G364" s="26">
        <v>2400</v>
      </c>
      <c r="H364" s="26">
        <f t="shared" si="5"/>
        <v>1200</v>
      </c>
      <c r="I364" s="56"/>
      <c r="J364" s="46"/>
      <c r="K364" s="16" t="str">
        <f>HYPERLINK("https://www.loqueleo.com/ar/libro/la-rosa-del-rio","VER")</f>
        <v>VER</v>
      </c>
      <c r="L364" s="56">
        <v>2019</v>
      </c>
    </row>
    <row r="365" spans="1:12" ht="12" customHeight="1">
      <c r="A365" s="45">
        <v>61072627</v>
      </c>
      <c r="B365" s="44">
        <v>9789504650607</v>
      </c>
      <c r="C365" s="44" t="s">
        <v>8</v>
      </c>
      <c r="D365" s="45" t="s">
        <v>295</v>
      </c>
      <c r="E365" s="45" t="s">
        <v>66</v>
      </c>
      <c r="F365" s="45" t="s">
        <v>26</v>
      </c>
      <c r="G365" s="26">
        <v>3100</v>
      </c>
      <c r="H365" s="26">
        <f t="shared" si="5"/>
        <v>1550</v>
      </c>
      <c r="I365" s="56"/>
      <c r="J365" s="46"/>
      <c r="K365" s="16" t="str">
        <f>HYPERLINK("https://www.loqueleo.com/ar/libro/el-ruido-del-exito","VER")</f>
        <v>VER</v>
      </c>
      <c r="L365" s="56">
        <v>2016</v>
      </c>
    </row>
    <row r="366" spans="1:12" ht="12" customHeight="1">
      <c r="A366" s="21">
        <v>61097709</v>
      </c>
      <c r="B366" s="21">
        <v>9789504666974</v>
      </c>
      <c r="C366" s="21" t="s">
        <v>8</v>
      </c>
      <c r="D366" s="22" t="s">
        <v>467</v>
      </c>
      <c r="E366" s="23" t="s">
        <v>27</v>
      </c>
      <c r="F366" s="24" t="s">
        <v>459</v>
      </c>
      <c r="G366" s="25">
        <v>2600</v>
      </c>
      <c r="H366" s="25">
        <f t="shared" si="5"/>
        <v>1300</v>
      </c>
      <c r="I366" s="30"/>
      <c r="J366" s="20" t="s">
        <v>484</v>
      </c>
      <c r="K366" s="29" t="s">
        <v>439</v>
      </c>
      <c r="L366" s="30">
        <v>2022</v>
      </c>
    </row>
    <row r="367" spans="1:12" ht="12" customHeight="1">
      <c r="A367" s="45">
        <v>61068403</v>
      </c>
      <c r="B367" s="44">
        <v>9789504644781</v>
      </c>
      <c r="C367" s="44" t="s">
        <v>8</v>
      </c>
      <c r="D367" s="45" t="s">
        <v>296</v>
      </c>
      <c r="E367" s="45" t="s">
        <v>11</v>
      </c>
      <c r="F367" s="45" t="s">
        <v>461</v>
      </c>
      <c r="G367" s="26">
        <v>2400</v>
      </c>
      <c r="H367" s="26">
        <f t="shared" si="5"/>
        <v>1200</v>
      </c>
      <c r="I367" s="56"/>
      <c r="J367" s="46"/>
      <c r="K367" s="16" t="str">
        <f>HYPERLINK("https://www.loqueleo.com/ar/libro/ruperto-al-rescate","VER")</f>
        <v>VER</v>
      </c>
      <c r="L367" s="56">
        <v>2016</v>
      </c>
    </row>
    <row r="368" spans="1:12" ht="12" customHeight="1">
      <c r="A368" s="45">
        <v>61070010</v>
      </c>
      <c r="B368" s="44">
        <v>9789504643975</v>
      </c>
      <c r="C368" s="44" t="s">
        <v>8</v>
      </c>
      <c r="D368" s="45" t="s">
        <v>297</v>
      </c>
      <c r="E368" s="45" t="s">
        <v>11</v>
      </c>
      <c r="F368" s="45" t="s">
        <v>461</v>
      </c>
      <c r="G368" s="26">
        <v>2400</v>
      </c>
      <c r="H368" s="26">
        <f t="shared" si="5"/>
        <v>1200</v>
      </c>
      <c r="I368" s="56"/>
      <c r="J368" s="46" t="s">
        <v>348</v>
      </c>
      <c r="K368" s="16" t="str">
        <f>HYPERLINK("https://www.loqueleo.com/ar/libro/ruperto-de-terror","VER")</f>
        <v>VER</v>
      </c>
      <c r="L368" s="56">
        <v>2016</v>
      </c>
    </row>
    <row r="369" spans="1:12" s="7" customFormat="1" ht="12" customHeight="1">
      <c r="A369" s="48">
        <v>61078424</v>
      </c>
      <c r="B369" s="49">
        <v>9789504652601</v>
      </c>
      <c r="C369" s="49" t="s">
        <v>8</v>
      </c>
      <c r="D369" s="45" t="s">
        <v>298</v>
      </c>
      <c r="E369" s="45" t="s">
        <v>11</v>
      </c>
      <c r="F369" s="45" t="s">
        <v>461</v>
      </c>
      <c r="G369" s="26">
        <v>2400</v>
      </c>
      <c r="H369" s="26">
        <f t="shared" si="5"/>
        <v>1200</v>
      </c>
      <c r="I369" s="57"/>
      <c r="J369" s="46" t="s">
        <v>348</v>
      </c>
      <c r="K369" s="16" t="str">
        <f>HYPERLINK("https://www.loqueleo.com/ar/libro/ruperto-detective","VER")</f>
        <v>VER</v>
      </c>
      <c r="L369" s="57">
        <v>2015</v>
      </c>
    </row>
    <row r="370" spans="1:12" ht="12" customHeight="1">
      <c r="A370" s="45">
        <v>61070087</v>
      </c>
      <c r="B370" s="44">
        <v>9789504643982</v>
      </c>
      <c r="C370" s="44" t="s">
        <v>8</v>
      </c>
      <c r="D370" s="45" t="s">
        <v>375</v>
      </c>
      <c r="E370" s="45" t="s">
        <v>11</v>
      </c>
      <c r="F370" s="45" t="s">
        <v>461</v>
      </c>
      <c r="G370" s="26">
        <v>2400</v>
      </c>
      <c r="H370" s="26">
        <f t="shared" si="5"/>
        <v>1200</v>
      </c>
      <c r="I370" s="56"/>
      <c r="J370" s="46"/>
      <c r="K370" s="16" t="str">
        <f>HYPERLINK("https://www.loqueleo.com/ar/libro/ruperto-insiste","VER")</f>
        <v>VER</v>
      </c>
      <c r="L370" s="56">
        <v>2016</v>
      </c>
    </row>
    <row r="371" spans="1:12" ht="12" customHeight="1">
      <c r="A371" s="45">
        <v>61070045</v>
      </c>
      <c r="B371" s="44">
        <v>9789504644019</v>
      </c>
      <c r="C371" s="44" t="s">
        <v>8</v>
      </c>
      <c r="D371" s="45" t="s">
        <v>374</v>
      </c>
      <c r="E371" s="45" t="s">
        <v>11</v>
      </c>
      <c r="F371" s="45" t="s">
        <v>461</v>
      </c>
      <c r="G371" s="26">
        <v>2400</v>
      </c>
      <c r="H371" s="26">
        <f t="shared" si="5"/>
        <v>1200</v>
      </c>
      <c r="I371" s="56"/>
      <c r="J371" s="46"/>
      <c r="K371" s="16" t="str">
        <f>HYPERLINK("https://www.loqueleo.com/ar/libro/ruperto-y-las-vacaciones-siniestras","VER")</f>
        <v>VER</v>
      </c>
      <c r="L371" s="56">
        <v>2016</v>
      </c>
    </row>
    <row r="372" spans="1:12" ht="12" customHeight="1">
      <c r="A372" s="45">
        <v>61070086</v>
      </c>
      <c r="B372" s="44">
        <v>9789504644026</v>
      </c>
      <c r="C372" s="44" t="s">
        <v>8</v>
      </c>
      <c r="D372" s="45" t="s">
        <v>299</v>
      </c>
      <c r="E372" s="45" t="s">
        <v>11</v>
      </c>
      <c r="F372" s="45" t="s">
        <v>461</v>
      </c>
      <c r="G372" s="26">
        <v>2400</v>
      </c>
      <c r="H372" s="26">
        <f t="shared" si="5"/>
        <v>1200</v>
      </c>
      <c r="I372" s="56"/>
      <c r="J372" s="46"/>
      <c r="K372" s="16" t="str">
        <f>HYPERLINK("https://www.loqueleo.com/ar/libro/ruperto-y-los-extraterrestres","VER")</f>
        <v>VER</v>
      </c>
      <c r="L372" s="56">
        <v>2015</v>
      </c>
    </row>
    <row r="373" spans="1:12" ht="12" customHeight="1">
      <c r="A373" s="45">
        <v>61071777</v>
      </c>
      <c r="B373" s="44">
        <v>9789504648727</v>
      </c>
      <c r="C373" s="44" t="s">
        <v>8</v>
      </c>
      <c r="D373" s="45" t="s">
        <v>300</v>
      </c>
      <c r="E373" s="45" t="s">
        <v>28</v>
      </c>
      <c r="F373" s="45" t="s">
        <v>460</v>
      </c>
      <c r="G373" s="26">
        <v>2400</v>
      </c>
      <c r="H373" s="26">
        <f t="shared" si="5"/>
        <v>1200</v>
      </c>
      <c r="I373" s="56"/>
      <c r="J373" s="46"/>
      <c r="K373" s="16" t="str">
        <f>HYPERLINK("https://www.loqueleo.com/ar/libro/s.o.s.-gorilas","VER")</f>
        <v>VER</v>
      </c>
      <c r="L373" s="56">
        <v>2016</v>
      </c>
    </row>
    <row r="374" spans="1:12" ht="12" customHeight="1">
      <c r="A374" s="45">
        <v>61069249</v>
      </c>
      <c r="B374" s="44">
        <v>9789504643340</v>
      </c>
      <c r="C374" s="44" t="s">
        <v>8</v>
      </c>
      <c r="D374" s="45" t="s">
        <v>301</v>
      </c>
      <c r="E374" s="45" t="s">
        <v>62</v>
      </c>
      <c r="F374" s="45" t="s">
        <v>461</v>
      </c>
      <c r="G374" s="26">
        <v>2200</v>
      </c>
      <c r="H374" s="26">
        <f t="shared" si="5"/>
        <v>1100</v>
      </c>
      <c r="I374" s="56"/>
      <c r="J374" s="46"/>
      <c r="K374" s="16" t="str">
        <f>HYPERLINK("https://www.loqueleo.com/ar/libro/sapo-en-buenos-aires","VER")</f>
        <v>VER</v>
      </c>
      <c r="L374" s="56">
        <v>2016</v>
      </c>
    </row>
    <row r="375" spans="1:12" ht="12" customHeight="1">
      <c r="A375" s="45">
        <v>61070039</v>
      </c>
      <c r="B375" s="44">
        <v>9789504644552</v>
      </c>
      <c r="C375" s="44" t="s">
        <v>8</v>
      </c>
      <c r="D375" s="45" t="s">
        <v>302</v>
      </c>
      <c r="E375" s="45" t="s">
        <v>52</v>
      </c>
      <c r="F375" s="45" t="s">
        <v>461</v>
      </c>
      <c r="G375" s="26">
        <v>2200</v>
      </c>
      <c r="H375" s="26">
        <f t="shared" si="5"/>
        <v>1100</v>
      </c>
      <c r="I375" s="56"/>
      <c r="J375" s="46"/>
      <c r="K375" s="16" t="str">
        <f>HYPERLINK("https://www.loqueleo.com/ar/libro/el-sapo-mas-lindo","VER")</f>
        <v>VER</v>
      </c>
      <c r="L375" s="56">
        <v>2016</v>
      </c>
    </row>
    <row r="376" spans="1:12" ht="12" customHeight="1">
      <c r="A376" s="45">
        <v>61070071</v>
      </c>
      <c r="B376" s="44">
        <v>9789504645610</v>
      </c>
      <c r="C376" s="44" t="s">
        <v>8</v>
      </c>
      <c r="D376" s="45" t="s">
        <v>303</v>
      </c>
      <c r="E376" s="45" t="s">
        <v>71</v>
      </c>
      <c r="F376" s="45" t="s">
        <v>462</v>
      </c>
      <c r="G376" s="26">
        <v>2990</v>
      </c>
      <c r="H376" s="26">
        <f t="shared" si="5"/>
        <v>1495</v>
      </c>
      <c r="I376" s="56"/>
      <c r="J376" s="46"/>
      <c r="K376" s="16" t="str">
        <f>HYPERLINK("https://www.loqueleo.com/ar/libro/el-secreto-del-tanque-de-agua","VER")</f>
        <v>VER</v>
      </c>
      <c r="L376" s="56">
        <v>2016</v>
      </c>
    </row>
    <row r="377" spans="1:12" ht="12" customHeight="1">
      <c r="A377" s="45">
        <v>61069984</v>
      </c>
      <c r="B377" s="44">
        <v>9789504646204</v>
      </c>
      <c r="C377" s="44" t="s">
        <v>8</v>
      </c>
      <c r="D377" s="45" t="s">
        <v>304</v>
      </c>
      <c r="E377" s="45" t="s">
        <v>86</v>
      </c>
      <c r="F377" s="45" t="s">
        <v>460</v>
      </c>
      <c r="G377" s="26">
        <v>2990</v>
      </c>
      <c r="H377" s="26">
        <f t="shared" si="5"/>
        <v>1495</v>
      </c>
      <c r="I377" s="56"/>
      <c r="J377" s="46"/>
      <c r="K377" s="16" t="str">
        <f>HYPERLINK("https://www.loqueleo.com/ar/libro/los-seres-extranos","VER")</f>
        <v>VER</v>
      </c>
      <c r="L377" s="56">
        <v>2016</v>
      </c>
    </row>
    <row r="378" spans="1:12" ht="12" customHeight="1">
      <c r="A378" s="45">
        <v>61070151</v>
      </c>
      <c r="B378" s="44">
        <v>9789504647201</v>
      </c>
      <c r="C378" s="44" t="s">
        <v>8</v>
      </c>
      <c r="D378" s="45" t="s">
        <v>305</v>
      </c>
      <c r="E378" s="45" t="s">
        <v>50</v>
      </c>
      <c r="F378" s="45" t="s">
        <v>26</v>
      </c>
      <c r="G378" s="26">
        <v>3100</v>
      </c>
      <c r="H378" s="26">
        <f t="shared" si="5"/>
        <v>1550</v>
      </c>
      <c r="I378" s="56"/>
      <c r="J378" s="46"/>
      <c r="K378" s="16" t="str">
        <f>HYPERLINK("https://www.loqueleo.com/ar/libro/los-siete-nombres","VER")</f>
        <v>VER</v>
      </c>
      <c r="L378" s="56">
        <v>2016</v>
      </c>
    </row>
    <row r="379" spans="1:12" ht="12" customHeight="1">
      <c r="A379" s="45">
        <v>61069285</v>
      </c>
      <c r="B379" s="44">
        <v>9789504644163</v>
      </c>
      <c r="C379" s="44" t="s">
        <v>8</v>
      </c>
      <c r="D379" s="45" t="s">
        <v>306</v>
      </c>
      <c r="E379" s="45" t="s">
        <v>12</v>
      </c>
      <c r="F379" s="45" t="s">
        <v>462</v>
      </c>
      <c r="G379" s="26">
        <v>2990</v>
      </c>
      <c r="H379" s="26">
        <f t="shared" si="5"/>
        <v>1495</v>
      </c>
      <c r="I379" s="56"/>
      <c r="J379" s="46"/>
      <c r="K379" s="16" t="s">
        <v>439</v>
      </c>
      <c r="L379" s="56">
        <v>2016</v>
      </c>
    </row>
    <row r="380" spans="1:12" ht="12" customHeight="1">
      <c r="A380" s="45">
        <v>61070018</v>
      </c>
      <c r="B380" s="44">
        <v>9789504645986</v>
      </c>
      <c r="C380" s="44" t="s">
        <v>8</v>
      </c>
      <c r="D380" s="45" t="s">
        <v>307</v>
      </c>
      <c r="E380" s="45" t="s">
        <v>12</v>
      </c>
      <c r="F380" s="45" t="s">
        <v>460</v>
      </c>
      <c r="G380" s="26">
        <v>2990</v>
      </c>
      <c r="H380" s="26">
        <f t="shared" si="5"/>
        <v>1495</v>
      </c>
      <c r="I380" s="56"/>
      <c r="J380" s="46"/>
      <c r="K380" s="16" t="str">
        <f>HYPERLINK("https://www.loqueleo.com/ar/libro/socorro-diez","VER")</f>
        <v>VER</v>
      </c>
      <c r="L380" s="56">
        <v>2015</v>
      </c>
    </row>
    <row r="381" spans="1:12" ht="12" customHeight="1">
      <c r="A381" s="45">
        <v>61086054</v>
      </c>
      <c r="B381" s="44">
        <v>9789504656623</v>
      </c>
      <c r="C381" s="44" t="s">
        <v>8</v>
      </c>
      <c r="D381" s="45" t="s">
        <v>391</v>
      </c>
      <c r="E381" s="45" t="s">
        <v>394</v>
      </c>
      <c r="F381" s="45" t="s">
        <v>26</v>
      </c>
      <c r="G381" s="26">
        <v>3100</v>
      </c>
      <c r="H381" s="26">
        <f t="shared" si="5"/>
        <v>1550</v>
      </c>
      <c r="I381" s="56"/>
      <c r="J381" s="46" t="s">
        <v>348</v>
      </c>
      <c r="K381" s="16" t="str">
        <f>HYPERLINK("https://www.loqueleo.com/ar/libro/solo-queda-saltar","VER")</f>
        <v>VER</v>
      </c>
      <c r="L381" s="56">
        <v>2018</v>
      </c>
    </row>
    <row r="382" spans="1:12" ht="12" customHeight="1">
      <c r="A382" s="45">
        <v>61069268</v>
      </c>
      <c r="B382" s="44">
        <v>9789504643623</v>
      </c>
      <c r="C382" s="44" t="s">
        <v>8</v>
      </c>
      <c r="D382" s="45" t="s">
        <v>308</v>
      </c>
      <c r="E382" s="45" t="s">
        <v>10</v>
      </c>
      <c r="F382" s="45" t="s">
        <v>462</v>
      </c>
      <c r="G382" s="26">
        <v>2400</v>
      </c>
      <c r="H382" s="26">
        <f t="shared" si="5"/>
        <v>1200</v>
      </c>
      <c r="I382" s="56"/>
      <c r="J382" s="46"/>
      <c r="K382" s="16" t="str">
        <f>HYPERLINK("https://www.loqueleo.com/ar/libro/la-sonada-aventura-de-ben-malasanguee","VER")</f>
        <v>VER</v>
      </c>
      <c r="L382" s="56">
        <v>2015</v>
      </c>
    </row>
    <row r="383" spans="1:12" ht="12" customHeight="1">
      <c r="A383" s="45">
        <v>61082256</v>
      </c>
      <c r="B383" s="44">
        <v>9789504655947</v>
      </c>
      <c r="C383" s="44" t="s">
        <v>8</v>
      </c>
      <c r="D383" s="45" t="s">
        <v>380</v>
      </c>
      <c r="E383" s="45" t="s">
        <v>71</v>
      </c>
      <c r="F383" s="45" t="s">
        <v>462</v>
      </c>
      <c r="G383" s="26">
        <v>2990</v>
      </c>
      <c r="H383" s="26">
        <f t="shared" si="5"/>
        <v>1495</v>
      </c>
      <c r="I383" s="56"/>
      <c r="J383" s="46"/>
      <c r="K383" s="16" t="str">
        <f>HYPERLINK("https://www.loqueleo.com/ar/libro/sopa-inglesa-","VER")</f>
        <v>VER</v>
      </c>
      <c r="L383" s="56">
        <v>2018</v>
      </c>
    </row>
    <row r="384" spans="1:12" ht="12" customHeight="1">
      <c r="A384" s="45">
        <v>61071774</v>
      </c>
      <c r="B384" s="44">
        <v>9789504648062</v>
      </c>
      <c r="C384" s="44" t="s">
        <v>8</v>
      </c>
      <c r="D384" s="45" t="s">
        <v>433</v>
      </c>
      <c r="E384" s="45" t="s">
        <v>146</v>
      </c>
      <c r="F384" s="45" t="s">
        <v>464</v>
      </c>
      <c r="G384" s="26">
        <v>2600</v>
      </c>
      <c r="H384" s="26">
        <f t="shared" si="5"/>
        <v>1300</v>
      </c>
      <c r="I384" s="56"/>
      <c r="J384" s="46"/>
      <c r="K384" s="16" t="str">
        <f>HYPERLINK("https://www.loqueleo.com/ar/libro/la-sorpresa-de-brutilda","VER")</f>
        <v>VER</v>
      </c>
      <c r="L384" s="56">
        <v>2018</v>
      </c>
    </row>
    <row r="385" spans="1:12" ht="12" customHeight="1">
      <c r="A385" s="45">
        <v>61069222</v>
      </c>
      <c r="B385" s="44">
        <v>9789504643098</v>
      </c>
      <c r="C385" s="44" t="s">
        <v>8</v>
      </c>
      <c r="D385" s="45" t="s">
        <v>309</v>
      </c>
      <c r="E385" s="45" t="s">
        <v>74</v>
      </c>
      <c r="F385" s="45" t="s">
        <v>459</v>
      </c>
      <c r="G385" s="26">
        <v>2600</v>
      </c>
      <c r="H385" s="26">
        <f t="shared" si="5"/>
        <v>1300</v>
      </c>
      <c r="I385" s="56"/>
      <c r="J385" s="46"/>
      <c r="K385" s="16" t="str">
        <f>HYPERLINK("https://www.loqueleo.com/ar/libro/sorpresa-en-el-bosque","VER")</f>
        <v>VER</v>
      </c>
      <c r="L385" s="56">
        <v>2016</v>
      </c>
    </row>
    <row r="386" spans="1:12" ht="12" customHeight="1">
      <c r="A386" s="45">
        <v>61070036</v>
      </c>
      <c r="B386" s="44">
        <v>9789504644699</v>
      </c>
      <c r="C386" s="44" t="s">
        <v>8</v>
      </c>
      <c r="D386" s="45" t="s">
        <v>310</v>
      </c>
      <c r="E386" s="45" t="s">
        <v>62</v>
      </c>
      <c r="F386" s="45" t="s">
        <v>461</v>
      </c>
      <c r="G386" s="26">
        <v>2200</v>
      </c>
      <c r="H386" s="26">
        <f t="shared" si="5"/>
        <v>1100</v>
      </c>
      <c r="I386" s="56"/>
      <c r="J386" s="46"/>
      <c r="K386" s="16" t="str">
        <f>HYPERLINK("https://www.loqueleo.com/ar/libro/los-suenos-del-yacare","VER")</f>
        <v>VER</v>
      </c>
      <c r="L386" s="56">
        <v>2016</v>
      </c>
    </row>
    <row r="387" spans="1:12" ht="12" customHeight="1">
      <c r="A387" s="21">
        <v>61101640</v>
      </c>
      <c r="B387" s="21">
        <v>9789504671121</v>
      </c>
      <c r="C387" s="21" t="s">
        <v>8</v>
      </c>
      <c r="D387" s="22" t="s">
        <v>539</v>
      </c>
      <c r="E387" s="23" t="s">
        <v>118</v>
      </c>
      <c r="F387" s="24" t="s">
        <v>464</v>
      </c>
      <c r="G387" s="25">
        <v>2600</v>
      </c>
      <c r="H387" s="25">
        <f t="shared" si="5"/>
        <v>1300</v>
      </c>
      <c r="I387" s="30"/>
      <c r="J387" s="47" t="s">
        <v>508</v>
      </c>
      <c r="K387" s="52" t="s">
        <v>439</v>
      </c>
      <c r="L387" s="30">
        <v>2023</v>
      </c>
    </row>
    <row r="388" spans="1:12" ht="12" customHeight="1">
      <c r="A388" s="45">
        <v>61082259</v>
      </c>
      <c r="B388" s="44">
        <v>9789504655954</v>
      </c>
      <c r="C388" s="44" t="s">
        <v>8</v>
      </c>
      <c r="D388" s="45" t="s">
        <v>382</v>
      </c>
      <c r="E388" s="45" t="s">
        <v>109</v>
      </c>
      <c r="F388" s="45" t="s">
        <v>461</v>
      </c>
      <c r="G388" s="26">
        <v>2200</v>
      </c>
      <c r="H388" s="26">
        <f t="shared" si="5"/>
        <v>1100</v>
      </c>
      <c r="I388" s="56"/>
      <c r="J388" s="46"/>
      <c r="K388" s="16" t="str">
        <f>HYPERLINK("https://www.loqueleo.com/ar/libro/la-superliga","VER")</f>
        <v>VER</v>
      </c>
      <c r="L388" s="56">
        <v>2018</v>
      </c>
    </row>
    <row r="389" spans="1:12" ht="12" customHeight="1">
      <c r="A389" s="45">
        <v>61069295</v>
      </c>
      <c r="B389" s="44">
        <v>9789504643258</v>
      </c>
      <c r="C389" s="44" t="s">
        <v>8</v>
      </c>
      <c r="D389" s="45" t="s">
        <v>311</v>
      </c>
      <c r="E389" s="45" t="s">
        <v>19</v>
      </c>
      <c r="F389" s="45" t="s">
        <v>461</v>
      </c>
      <c r="G389" s="26">
        <v>2200</v>
      </c>
      <c r="H389" s="26">
        <f t="shared" si="5"/>
        <v>1100</v>
      </c>
      <c r="I389" s="56"/>
      <c r="J389" s="46"/>
      <c r="K389" s="16" t="str">
        <f>HYPERLINK("https://www.loqueleo.com/ar/libro/el-superzorro","VER")</f>
        <v>VER</v>
      </c>
      <c r="L389" s="56">
        <v>2015</v>
      </c>
    </row>
    <row r="390" spans="1:12" ht="12" customHeight="1">
      <c r="A390" s="45">
        <v>61069996</v>
      </c>
      <c r="B390" s="44">
        <v>9789504645948</v>
      </c>
      <c r="C390" s="44" t="s">
        <v>8</v>
      </c>
      <c r="D390" s="45" t="s">
        <v>312</v>
      </c>
      <c r="E390" s="45" t="s">
        <v>66</v>
      </c>
      <c r="F390" s="45" t="s">
        <v>460</v>
      </c>
      <c r="G390" s="26">
        <v>2990</v>
      </c>
      <c r="H390" s="26">
        <f t="shared" si="5"/>
        <v>1495</v>
      </c>
      <c r="I390" s="56"/>
      <c r="J390" s="46"/>
      <c r="K390" s="16" t="str">
        <f>HYPERLINK("https://www.loqueleo.com/ar/libro/tambien-las-estatuas-tienen-miedo","VER")</f>
        <v>VER</v>
      </c>
      <c r="L390" s="56">
        <v>2016</v>
      </c>
    </row>
    <row r="391" spans="1:12" ht="12" customHeight="1">
      <c r="A391" s="50">
        <v>61078620</v>
      </c>
      <c r="B391" s="44">
        <v>9789504653066</v>
      </c>
      <c r="C391" s="44" t="s">
        <v>8</v>
      </c>
      <c r="D391" s="50" t="s">
        <v>358</v>
      </c>
      <c r="E391" s="50" t="s">
        <v>23</v>
      </c>
      <c r="F391" s="51" t="s">
        <v>351</v>
      </c>
      <c r="G391" s="13">
        <v>3990</v>
      </c>
      <c r="H391" s="13">
        <f t="shared" si="5"/>
        <v>1995</v>
      </c>
      <c r="I391" s="56"/>
      <c r="J391" s="46"/>
      <c r="K391" s="16" t="str">
        <f>HYPERLINK("https://www.loqueleo.com/ar/libro/te-amo-lectura-natacha","VER")</f>
        <v>VER</v>
      </c>
      <c r="L391" s="56">
        <v>2017</v>
      </c>
    </row>
    <row r="392" spans="1:12" ht="12" customHeight="1">
      <c r="A392" s="45">
        <v>61070125</v>
      </c>
      <c r="B392" s="44">
        <v>9789504647188</v>
      </c>
      <c r="C392" s="44" t="s">
        <v>8</v>
      </c>
      <c r="D392" s="45" t="s">
        <v>313</v>
      </c>
      <c r="E392" s="45" t="s">
        <v>23</v>
      </c>
      <c r="F392" s="45" t="s">
        <v>462</v>
      </c>
      <c r="G392" s="26">
        <v>2990</v>
      </c>
      <c r="H392" s="26">
        <f t="shared" si="5"/>
        <v>1495</v>
      </c>
      <c r="I392" s="56"/>
      <c r="J392" s="46"/>
      <c r="K392" s="16" t="str">
        <f>HYPERLINK("https://www.loqueleo.com/ar/libro/te-amo-lectura-natacha-1","VER")</f>
        <v>VER</v>
      </c>
      <c r="L392" s="56">
        <v>2016</v>
      </c>
    </row>
    <row r="393" spans="1:12" ht="12" customHeight="1">
      <c r="A393" s="45">
        <v>61070065</v>
      </c>
      <c r="B393" s="44">
        <v>9789504645719</v>
      </c>
      <c r="C393" s="44" t="s">
        <v>8</v>
      </c>
      <c r="D393" s="45" t="s">
        <v>314</v>
      </c>
      <c r="E393" s="45" t="s">
        <v>131</v>
      </c>
      <c r="F393" s="45" t="s">
        <v>462</v>
      </c>
      <c r="G393" s="26">
        <v>2990</v>
      </c>
      <c r="H393" s="26">
        <f aca="true" t="shared" si="6" ref="H393:H440">+G393/2</f>
        <v>1495</v>
      </c>
      <c r="I393" s="56"/>
      <c r="J393" s="46"/>
      <c r="K393" s="16" t="str">
        <f>HYPERLINK("https://www.loqueleo.com/ar/libro/te-espero-en-sofia","VER")</f>
        <v>VER</v>
      </c>
      <c r="L393" s="56">
        <v>2016</v>
      </c>
    </row>
    <row r="394" spans="1:12" ht="12" customHeight="1">
      <c r="A394" s="45">
        <v>61070080</v>
      </c>
      <c r="B394" s="44">
        <v>9789504645634</v>
      </c>
      <c r="C394" s="44" t="s">
        <v>8</v>
      </c>
      <c r="D394" s="45" t="s">
        <v>315</v>
      </c>
      <c r="E394" s="45" t="s">
        <v>21</v>
      </c>
      <c r="F394" s="45" t="s">
        <v>462</v>
      </c>
      <c r="G394" s="26">
        <v>2400</v>
      </c>
      <c r="H394" s="26">
        <f t="shared" si="6"/>
        <v>1200</v>
      </c>
      <c r="I394" s="56"/>
      <c r="J394" s="46" t="s">
        <v>348</v>
      </c>
      <c r="K394" s="16" t="str">
        <f>HYPERLINK("https://www.loqueleo.com/ar/libro/el-terror-de-sexto-b","VER")</f>
        <v>VER</v>
      </c>
      <c r="L394" s="56">
        <v>2015</v>
      </c>
    </row>
    <row r="395" spans="1:12" ht="12" customHeight="1">
      <c r="A395" s="45">
        <v>61084736</v>
      </c>
      <c r="B395" s="44">
        <v>9789504656166</v>
      </c>
      <c r="C395" s="44" t="s">
        <v>8</v>
      </c>
      <c r="D395" s="45" t="s">
        <v>540</v>
      </c>
      <c r="E395" s="45" t="s">
        <v>541</v>
      </c>
      <c r="F395" s="45" t="s">
        <v>462</v>
      </c>
      <c r="G395" s="26">
        <v>2990</v>
      </c>
      <c r="H395" s="26">
        <f t="shared" si="6"/>
        <v>1495</v>
      </c>
      <c r="I395" s="56"/>
      <c r="J395" s="46"/>
      <c r="K395" s="16" t="str">
        <f>HYPERLINK("https://www.loqueleo.com/ar/libro/terror-en-la-ciudad","VER")</f>
        <v>VER</v>
      </c>
      <c r="L395" s="56">
        <v>2016</v>
      </c>
    </row>
    <row r="396" spans="1:12" ht="12">
      <c r="A396" s="45">
        <v>61070081</v>
      </c>
      <c r="B396" s="44">
        <v>9789504645122</v>
      </c>
      <c r="C396" s="44" t="s">
        <v>8</v>
      </c>
      <c r="D396" s="45" t="s">
        <v>316</v>
      </c>
      <c r="E396" s="45" t="s">
        <v>14</v>
      </c>
      <c r="F396" s="45" t="s">
        <v>462</v>
      </c>
      <c r="G396" s="26">
        <v>2990</v>
      </c>
      <c r="H396" s="26">
        <f t="shared" si="6"/>
        <v>1495</v>
      </c>
      <c r="I396" s="56"/>
      <c r="J396" s="46"/>
      <c r="K396" s="16" t="str">
        <f>HYPERLINK("https://www.loqueleo.com/ar/libro/el-tesoro-escondido","VER")</f>
        <v>VER</v>
      </c>
      <c r="L396" s="56">
        <v>2016</v>
      </c>
    </row>
    <row r="397" spans="1:12" ht="12">
      <c r="A397" s="21">
        <v>61100329</v>
      </c>
      <c r="B397" s="21">
        <v>9789504669579</v>
      </c>
      <c r="C397" s="21" t="s">
        <v>8</v>
      </c>
      <c r="D397" s="22" t="s">
        <v>542</v>
      </c>
      <c r="E397" s="23" t="s">
        <v>71</v>
      </c>
      <c r="F397" s="24" t="s">
        <v>460</v>
      </c>
      <c r="G397" s="25">
        <v>2990</v>
      </c>
      <c r="H397" s="25">
        <f t="shared" si="6"/>
        <v>1495</v>
      </c>
      <c r="I397" s="30"/>
      <c r="J397" s="47" t="s">
        <v>494</v>
      </c>
      <c r="K397" s="29" t="s">
        <v>439</v>
      </c>
      <c r="L397" s="30">
        <v>2022</v>
      </c>
    </row>
    <row r="398" spans="1:12" s="28" customFormat="1" ht="12" customHeight="1">
      <c r="A398" s="45">
        <v>61069286</v>
      </c>
      <c r="B398" s="44">
        <v>9789504643234</v>
      </c>
      <c r="C398" s="44" t="s">
        <v>8</v>
      </c>
      <c r="D398" s="45" t="s">
        <v>543</v>
      </c>
      <c r="E398" s="45" t="s">
        <v>12</v>
      </c>
      <c r="F398" s="45" t="s">
        <v>461</v>
      </c>
      <c r="G398" s="26">
        <v>2200</v>
      </c>
      <c r="H398" s="26">
        <f t="shared" si="6"/>
        <v>1100</v>
      </c>
      <c r="I398" s="56"/>
      <c r="J398" s="46"/>
      <c r="K398" s="16" t="str">
        <f>HYPERLINK("https://www.loqueleo.com/ar/libro/tinke-tinke","VER")</f>
        <v>VER</v>
      </c>
      <c r="L398" s="56">
        <v>2015</v>
      </c>
    </row>
    <row r="399" spans="1:12" ht="12" customHeight="1">
      <c r="A399" s="45">
        <v>61070153</v>
      </c>
      <c r="B399" s="44">
        <v>9789504647225</v>
      </c>
      <c r="C399" s="44" t="s">
        <v>8</v>
      </c>
      <c r="D399" s="45" t="s">
        <v>317</v>
      </c>
      <c r="E399" s="45" t="s">
        <v>18</v>
      </c>
      <c r="F399" s="45" t="s">
        <v>26</v>
      </c>
      <c r="G399" s="26">
        <v>3100</v>
      </c>
      <c r="H399" s="26">
        <f t="shared" si="6"/>
        <v>1550</v>
      </c>
      <c r="I399" s="56"/>
      <c r="J399" s="46"/>
      <c r="K399" s="16" t="str">
        <f>HYPERLINK("https://www.loqueleo.com/ar/libro/titanis","VER")</f>
        <v>VER</v>
      </c>
      <c r="L399" s="56">
        <v>2015</v>
      </c>
    </row>
    <row r="400" spans="1:12" ht="12" customHeight="1">
      <c r="A400" s="55">
        <v>61077603</v>
      </c>
      <c r="B400" s="44">
        <v>9789504653868</v>
      </c>
      <c r="C400" s="44" t="s">
        <v>8</v>
      </c>
      <c r="D400" s="55" t="s">
        <v>350</v>
      </c>
      <c r="E400" s="55" t="s">
        <v>78</v>
      </c>
      <c r="F400" s="45" t="s">
        <v>26</v>
      </c>
      <c r="G400" s="26">
        <v>2890</v>
      </c>
      <c r="H400" s="26">
        <f t="shared" si="6"/>
        <v>1445</v>
      </c>
      <c r="I400" s="56"/>
      <c r="J400" s="46"/>
      <c r="K400" s="16" t="str">
        <f>HYPERLINK("https://www.loqueleo.com/ar/libro/tito-nunca-mas-","VER")</f>
        <v>VER</v>
      </c>
      <c r="L400" s="56">
        <v>2017</v>
      </c>
    </row>
    <row r="401" spans="1:12" ht="12" customHeight="1">
      <c r="A401" s="45">
        <v>61075922</v>
      </c>
      <c r="B401" s="44">
        <v>9789504652410</v>
      </c>
      <c r="C401" s="44" t="s">
        <v>8</v>
      </c>
      <c r="D401" s="45" t="s">
        <v>318</v>
      </c>
      <c r="E401" s="45" t="s">
        <v>163</v>
      </c>
      <c r="F401" s="45" t="s">
        <v>26</v>
      </c>
      <c r="G401" s="26">
        <v>3100</v>
      </c>
      <c r="H401" s="26">
        <f t="shared" si="6"/>
        <v>1550</v>
      </c>
      <c r="I401" s="56"/>
      <c r="J401" s="46" t="s">
        <v>348</v>
      </c>
      <c r="K401" s="16" t="str">
        <f>HYPERLINK("https://www.loqueleo.com/ar/libro/todas-las-tardes-de-sol","VER")</f>
        <v>VER</v>
      </c>
      <c r="L401" s="56">
        <v>2017</v>
      </c>
    </row>
    <row r="402" spans="1:12" ht="12" customHeight="1">
      <c r="A402" s="45">
        <v>61069262</v>
      </c>
      <c r="B402" s="44">
        <v>9789504643937</v>
      </c>
      <c r="C402" s="44" t="s">
        <v>8</v>
      </c>
      <c r="D402" s="45" t="s">
        <v>319</v>
      </c>
      <c r="E402" s="45" t="s">
        <v>18</v>
      </c>
      <c r="F402" s="45" t="s">
        <v>26</v>
      </c>
      <c r="G402" s="26">
        <v>3100</v>
      </c>
      <c r="H402" s="26">
        <f t="shared" si="6"/>
        <v>1550</v>
      </c>
      <c r="I402" s="56"/>
      <c r="J402" s="46" t="s">
        <v>348</v>
      </c>
      <c r="K402" s="16" t="str">
        <f>HYPERLINK("https://www.loqueleo.com/ar/libro/todos-los-soles-mienten","VER")</f>
        <v>VER</v>
      </c>
      <c r="L402" s="56">
        <v>2016</v>
      </c>
    </row>
    <row r="403" spans="1:12" ht="12">
      <c r="A403" s="45">
        <v>61071734</v>
      </c>
      <c r="B403" s="44">
        <v>9789504648017</v>
      </c>
      <c r="C403" s="44" t="s">
        <v>8</v>
      </c>
      <c r="D403" s="45" t="s">
        <v>320</v>
      </c>
      <c r="E403" s="45" t="s">
        <v>105</v>
      </c>
      <c r="F403" s="45" t="s">
        <v>463</v>
      </c>
      <c r="G403" s="26">
        <v>2200</v>
      </c>
      <c r="H403" s="26">
        <f t="shared" si="6"/>
        <v>1100</v>
      </c>
      <c r="I403" s="56"/>
      <c r="J403" s="46"/>
      <c r="K403" s="16" t="str">
        <f>HYPERLINK("https://www.loqueleo.com/ar/libro/tomasito","VER")</f>
        <v>VER</v>
      </c>
      <c r="L403" s="56">
        <v>2015</v>
      </c>
    </row>
    <row r="404" spans="1:12" ht="12">
      <c r="A404" s="45">
        <v>61070164</v>
      </c>
      <c r="B404" s="44">
        <v>9789504646259</v>
      </c>
      <c r="C404" s="44" t="s">
        <v>8</v>
      </c>
      <c r="D404" s="45" t="s">
        <v>321</v>
      </c>
      <c r="E404" s="45" t="s">
        <v>105</v>
      </c>
      <c r="F404" s="45" t="s">
        <v>463</v>
      </c>
      <c r="G404" s="26">
        <v>2200</v>
      </c>
      <c r="H404" s="26">
        <f t="shared" si="6"/>
        <v>1100</v>
      </c>
      <c r="I404" s="56"/>
      <c r="J404" s="46"/>
      <c r="K404" s="16" t="str">
        <f>HYPERLINK("https://www.loqueleo.com/ar/libro/tomasito-cumple-dos","VER")</f>
        <v>VER</v>
      </c>
      <c r="L404" s="56">
        <v>2016</v>
      </c>
    </row>
    <row r="405" spans="1:12" ht="12">
      <c r="A405" s="45">
        <v>61070163</v>
      </c>
      <c r="B405" s="44">
        <v>9789504646273</v>
      </c>
      <c r="C405" s="44" t="s">
        <v>8</v>
      </c>
      <c r="D405" s="45" t="s">
        <v>322</v>
      </c>
      <c r="E405" s="45" t="s">
        <v>105</v>
      </c>
      <c r="F405" s="45" t="s">
        <v>463</v>
      </c>
      <c r="G405" s="26">
        <v>2200</v>
      </c>
      <c r="H405" s="26">
        <f t="shared" si="6"/>
        <v>1100</v>
      </c>
      <c r="I405" s="56"/>
      <c r="J405" s="46"/>
      <c r="K405" s="16" t="str">
        <f>HYPERLINK("https://www.loqueleo.com/ar/libro/tomasito-va-al-jardin","VER")</f>
        <v>VER</v>
      </c>
      <c r="L405" s="56">
        <v>2016</v>
      </c>
    </row>
    <row r="406" spans="1:12" ht="12">
      <c r="A406" s="45">
        <v>61070159</v>
      </c>
      <c r="B406" s="44">
        <v>9789504643456</v>
      </c>
      <c r="C406" s="44" t="s">
        <v>8</v>
      </c>
      <c r="D406" s="45" t="s">
        <v>544</v>
      </c>
      <c r="E406" s="45" t="s">
        <v>105</v>
      </c>
      <c r="F406" s="45" t="s">
        <v>463</v>
      </c>
      <c r="G406" s="26">
        <v>2200</v>
      </c>
      <c r="H406" s="26">
        <f t="shared" si="6"/>
        <v>1100</v>
      </c>
      <c r="I406" s="56"/>
      <c r="J406" s="46"/>
      <c r="K406" s="16" t="str">
        <f>HYPERLINK("https://www.loqueleo.com/ar/libro/tomasito-y-las-palabras","VER")</f>
        <v>VER</v>
      </c>
      <c r="L406" s="56">
        <v>2016</v>
      </c>
    </row>
    <row r="407" spans="1:12" ht="12">
      <c r="A407" s="45">
        <v>61086675</v>
      </c>
      <c r="B407" s="44">
        <v>9789504658030</v>
      </c>
      <c r="C407" s="44" t="s">
        <v>8</v>
      </c>
      <c r="D407" s="45" t="s">
        <v>399</v>
      </c>
      <c r="E407" s="45" t="s">
        <v>118</v>
      </c>
      <c r="F407" s="45" t="s">
        <v>459</v>
      </c>
      <c r="G407" s="26">
        <v>2600</v>
      </c>
      <c r="H407" s="26">
        <f t="shared" si="6"/>
        <v>1300</v>
      </c>
      <c r="I407" s="56"/>
      <c r="J407" s="46"/>
      <c r="K407" s="16" t="s">
        <v>439</v>
      </c>
      <c r="L407" s="56">
        <v>2019</v>
      </c>
    </row>
    <row r="408" spans="1:12" ht="12">
      <c r="A408" s="45">
        <v>61090955</v>
      </c>
      <c r="B408" s="44">
        <v>9789504660521</v>
      </c>
      <c r="C408" s="44" t="s">
        <v>8</v>
      </c>
      <c r="D408" s="45" t="s">
        <v>441</v>
      </c>
      <c r="E408" s="45" t="s">
        <v>118</v>
      </c>
      <c r="F408" s="45" t="s">
        <v>459</v>
      </c>
      <c r="G408" s="26">
        <v>2600</v>
      </c>
      <c r="H408" s="26">
        <f t="shared" si="6"/>
        <v>1300</v>
      </c>
      <c r="I408" s="56"/>
      <c r="J408" s="46"/>
      <c r="K408" s="16" t="s">
        <v>439</v>
      </c>
      <c r="L408" s="56">
        <v>2020</v>
      </c>
    </row>
    <row r="409" spans="1:12" ht="12">
      <c r="A409" s="45">
        <v>61069972</v>
      </c>
      <c r="B409" s="44">
        <v>9789504646464</v>
      </c>
      <c r="C409" s="44" t="s">
        <v>8</v>
      </c>
      <c r="D409" s="45" t="s">
        <v>323</v>
      </c>
      <c r="E409" s="45" t="s">
        <v>96</v>
      </c>
      <c r="F409" s="45" t="s">
        <v>459</v>
      </c>
      <c r="G409" s="26">
        <v>2600</v>
      </c>
      <c r="H409" s="26">
        <f t="shared" si="6"/>
        <v>1300</v>
      </c>
      <c r="I409" s="56"/>
      <c r="J409" s="46"/>
      <c r="K409" s="16" t="s">
        <v>439</v>
      </c>
      <c r="L409" s="56">
        <v>2016</v>
      </c>
    </row>
    <row r="410" spans="1:12" ht="12">
      <c r="A410" s="45">
        <v>61070014</v>
      </c>
      <c r="B410" s="44">
        <v>9789504646617</v>
      </c>
      <c r="C410" s="44" t="s">
        <v>8</v>
      </c>
      <c r="D410" s="45" t="s">
        <v>324</v>
      </c>
      <c r="E410" s="45" t="s">
        <v>14</v>
      </c>
      <c r="F410" s="45" t="s">
        <v>461</v>
      </c>
      <c r="G410" s="26">
        <v>2200</v>
      </c>
      <c r="H410" s="26">
        <f t="shared" si="6"/>
        <v>1100</v>
      </c>
      <c r="I410" s="56"/>
      <c r="J410" s="46"/>
      <c r="K410" s="16" t="str">
        <f>HYPERLINK("https://www.loqueleo.com/ar/libro/el-traje-del-emperador","VER")</f>
        <v>VER</v>
      </c>
      <c r="L410" s="56">
        <v>2016</v>
      </c>
    </row>
    <row r="411" spans="1:12" ht="12">
      <c r="A411" s="45">
        <v>61070149</v>
      </c>
      <c r="B411" s="44">
        <v>9789504646648</v>
      </c>
      <c r="C411" s="44" t="s">
        <v>8</v>
      </c>
      <c r="D411" s="45" t="s">
        <v>325</v>
      </c>
      <c r="E411" s="45" t="s">
        <v>56</v>
      </c>
      <c r="F411" s="45" t="s">
        <v>26</v>
      </c>
      <c r="G411" s="26">
        <v>3100</v>
      </c>
      <c r="H411" s="26">
        <f t="shared" si="6"/>
        <v>1550</v>
      </c>
      <c r="I411" s="56"/>
      <c r="J411" s="46" t="s">
        <v>348</v>
      </c>
      <c r="K411" s="16" t="str">
        <f>HYPERLINK("https://www.loqueleo.com/ar/libro/trasnoche","VER")</f>
        <v>VER</v>
      </c>
      <c r="L411" s="56">
        <v>2016</v>
      </c>
    </row>
    <row r="412" spans="1:12" ht="12">
      <c r="A412" s="45">
        <v>61070011</v>
      </c>
      <c r="B412" s="44">
        <v>9789504646334</v>
      </c>
      <c r="C412" s="44" t="s">
        <v>8</v>
      </c>
      <c r="D412" s="45" t="s">
        <v>326</v>
      </c>
      <c r="E412" s="45" t="s">
        <v>12</v>
      </c>
      <c r="F412" s="45" t="s">
        <v>465</v>
      </c>
      <c r="G412" s="26">
        <v>2990</v>
      </c>
      <c r="H412" s="26">
        <f t="shared" si="6"/>
        <v>1495</v>
      </c>
      <c r="I412" s="56"/>
      <c r="J412" s="46"/>
      <c r="K412" s="16" t="s">
        <v>439</v>
      </c>
      <c r="L412" s="56">
        <v>2016</v>
      </c>
    </row>
    <row r="413" spans="1:12" ht="12">
      <c r="A413" s="45">
        <v>61069973</v>
      </c>
      <c r="B413" s="44">
        <v>9789504646907</v>
      </c>
      <c r="C413" s="44" t="s">
        <v>8</v>
      </c>
      <c r="D413" s="45" t="s">
        <v>327</v>
      </c>
      <c r="E413" s="45" t="s">
        <v>14</v>
      </c>
      <c r="F413" s="45" t="s">
        <v>459</v>
      </c>
      <c r="G413" s="26">
        <v>2600</v>
      </c>
      <c r="H413" s="26">
        <f t="shared" si="6"/>
        <v>1300</v>
      </c>
      <c r="I413" s="56"/>
      <c r="J413" s="46"/>
      <c r="K413" s="16" t="str">
        <f>HYPERLINK("https://www.loqueleo.com/ar/libro/el-tren-mas-largo-del-mundo","VER")</f>
        <v>VER</v>
      </c>
      <c r="L413" s="56">
        <v>2016</v>
      </c>
    </row>
    <row r="414" spans="1:12" ht="12">
      <c r="A414" s="45">
        <v>61069287</v>
      </c>
      <c r="B414" s="44">
        <v>9789504643401</v>
      </c>
      <c r="C414" s="44" t="s">
        <v>8</v>
      </c>
      <c r="D414" s="45" t="s">
        <v>328</v>
      </c>
      <c r="E414" s="45" t="s">
        <v>12</v>
      </c>
      <c r="F414" s="45" t="s">
        <v>465</v>
      </c>
      <c r="G414" s="26">
        <v>2990</v>
      </c>
      <c r="H414" s="26">
        <f t="shared" si="6"/>
        <v>1495</v>
      </c>
      <c r="I414" s="56"/>
      <c r="J414" s="46"/>
      <c r="K414" s="16" t="s">
        <v>439</v>
      </c>
      <c r="L414" s="56">
        <v>2016</v>
      </c>
    </row>
    <row r="415" spans="1:12" ht="12">
      <c r="A415" s="45">
        <v>61069515</v>
      </c>
      <c r="B415" s="44">
        <v>9789504649052</v>
      </c>
      <c r="C415" s="44" t="s">
        <v>8</v>
      </c>
      <c r="D415" s="45" t="s">
        <v>545</v>
      </c>
      <c r="E415" s="45" t="s">
        <v>30</v>
      </c>
      <c r="F415" s="45" t="s">
        <v>463</v>
      </c>
      <c r="G415" s="26">
        <v>2700</v>
      </c>
      <c r="H415" s="26">
        <f t="shared" si="6"/>
        <v>1350</v>
      </c>
      <c r="I415" s="56"/>
      <c r="J415" s="46" t="s">
        <v>348</v>
      </c>
      <c r="K415" s="16" t="str">
        <f>HYPERLINK("https://www.loqueleo.com/ar/libro/tres-chicos-muy-valientes","VER")</f>
        <v>VER</v>
      </c>
      <c r="L415" s="56">
        <v>2017</v>
      </c>
    </row>
    <row r="416" spans="1:12" ht="12">
      <c r="A416" s="45">
        <v>61069566</v>
      </c>
      <c r="B416" s="44">
        <v>9789504647690</v>
      </c>
      <c r="C416" s="44" t="s">
        <v>8</v>
      </c>
      <c r="D416" s="45" t="s">
        <v>329</v>
      </c>
      <c r="E416" s="45" t="s">
        <v>71</v>
      </c>
      <c r="F416" s="45" t="s">
        <v>462</v>
      </c>
      <c r="G416" s="26">
        <v>2990</v>
      </c>
      <c r="H416" s="26">
        <f t="shared" si="6"/>
        <v>1495</v>
      </c>
      <c r="I416" s="56"/>
      <c r="J416" s="46"/>
      <c r="K416" s="16" t="str">
        <f>HYPERLINK("https://www.loqueleo.com/ar/libro/tucuman-era-una-fiesta","VER")</f>
        <v>VER</v>
      </c>
      <c r="L416" s="56">
        <v>2016</v>
      </c>
    </row>
    <row r="417" spans="1:12" ht="12">
      <c r="A417" s="45">
        <v>61069275</v>
      </c>
      <c r="B417" s="44">
        <v>9789504643869</v>
      </c>
      <c r="C417" s="44" t="s">
        <v>8</v>
      </c>
      <c r="D417" s="45" t="s">
        <v>330</v>
      </c>
      <c r="E417" s="45" t="s">
        <v>58</v>
      </c>
      <c r="F417" s="45" t="s">
        <v>26</v>
      </c>
      <c r="G417" s="26">
        <v>3100</v>
      </c>
      <c r="H417" s="26">
        <f t="shared" si="6"/>
        <v>1550</v>
      </c>
      <c r="I417" s="56"/>
      <c r="J417" s="46"/>
      <c r="K417" s="16" t="str">
        <f>HYPERLINK("https://www.loqueleo.com/ar/libro/el-tunel-de-los-pajaros-muertos","VER")</f>
        <v>VER</v>
      </c>
      <c r="L417" s="56">
        <v>2016</v>
      </c>
    </row>
    <row r="418" spans="1:12" ht="12">
      <c r="A418" s="45">
        <v>61069206</v>
      </c>
      <c r="B418" s="44">
        <v>9789504643524</v>
      </c>
      <c r="C418" s="44" t="s">
        <v>8</v>
      </c>
      <c r="D418" s="45" t="s">
        <v>331</v>
      </c>
      <c r="E418" s="45" t="s">
        <v>56</v>
      </c>
      <c r="F418" s="45" t="s">
        <v>462</v>
      </c>
      <c r="G418" s="26">
        <v>2990</v>
      </c>
      <c r="H418" s="26">
        <f t="shared" si="6"/>
        <v>1495</v>
      </c>
      <c r="I418" s="56"/>
      <c r="J418" s="46"/>
      <c r="K418" s="16" t="s">
        <v>439</v>
      </c>
      <c r="L418" s="56">
        <v>2016</v>
      </c>
    </row>
    <row r="419" spans="1:12" ht="12">
      <c r="A419" s="45">
        <v>61070034</v>
      </c>
      <c r="B419" s="44">
        <v>9789504644101</v>
      </c>
      <c r="C419" s="44" t="s">
        <v>8</v>
      </c>
      <c r="D419" s="45" t="s">
        <v>332</v>
      </c>
      <c r="E419" s="45" t="s">
        <v>12</v>
      </c>
      <c r="F419" s="45" t="s">
        <v>461</v>
      </c>
      <c r="G419" s="26">
        <v>2400</v>
      </c>
      <c r="H419" s="26">
        <f t="shared" si="6"/>
        <v>1200</v>
      </c>
      <c r="I419" s="56"/>
      <c r="J419" s="46" t="s">
        <v>348</v>
      </c>
      <c r="K419" s="16" t="str">
        <f>HYPERLINK("https://www.loqueleo.com/ar/libro/el-ultimo-mago-o-bilembambudin","VER")</f>
        <v>VER</v>
      </c>
      <c r="L419" s="56">
        <v>2016</v>
      </c>
    </row>
    <row r="420" spans="1:12" ht="12">
      <c r="A420" s="45">
        <v>61069253</v>
      </c>
      <c r="B420" s="44">
        <v>9789504643364</v>
      </c>
      <c r="C420" s="44" t="s">
        <v>8</v>
      </c>
      <c r="D420" s="45" t="s">
        <v>333</v>
      </c>
      <c r="E420" s="45" t="s">
        <v>14</v>
      </c>
      <c r="F420" s="45" t="s">
        <v>461</v>
      </c>
      <c r="G420" s="26">
        <v>2400</v>
      </c>
      <c r="H420" s="26">
        <f t="shared" si="6"/>
        <v>1200</v>
      </c>
      <c r="I420" s="56"/>
      <c r="J420" s="46"/>
      <c r="K420" s="16" t="str">
        <f>HYPERLINK("https://www.loqueleo.com/ar/libro/un-cuento-de-amor-en-mayo","VER")</f>
        <v>VER</v>
      </c>
      <c r="L420" s="56">
        <v>2016</v>
      </c>
    </row>
    <row r="421" spans="1:12" ht="12">
      <c r="A421" s="45">
        <v>61069977</v>
      </c>
      <c r="B421" s="44">
        <v>9789504646471</v>
      </c>
      <c r="C421" s="44" t="s">
        <v>8</v>
      </c>
      <c r="D421" s="45" t="s">
        <v>334</v>
      </c>
      <c r="E421" s="45" t="s">
        <v>96</v>
      </c>
      <c r="F421" s="45" t="s">
        <v>459</v>
      </c>
      <c r="G421" s="26">
        <v>2600</v>
      </c>
      <c r="H421" s="26">
        <f t="shared" si="6"/>
        <v>1300</v>
      </c>
      <c r="I421" s="56"/>
      <c r="J421" s="46"/>
      <c r="K421" s="16" t="str">
        <f>HYPERLINK("https://www.loqueleo.com/ar/libro/un-cuento-puajjj","VER")</f>
        <v>VER</v>
      </c>
      <c r="L421" s="56">
        <v>2016</v>
      </c>
    </row>
    <row r="422" spans="1:12" ht="12">
      <c r="A422" s="45">
        <v>61069976</v>
      </c>
      <c r="B422" s="44">
        <v>9789504646501</v>
      </c>
      <c r="C422" s="44" t="s">
        <v>8</v>
      </c>
      <c r="D422" s="45" t="s">
        <v>335</v>
      </c>
      <c r="E422" s="45" t="s">
        <v>74</v>
      </c>
      <c r="F422" s="45" t="s">
        <v>459</v>
      </c>
      <c r="G422" s="26">
        <v>2600</v>
      </c>
      <c r="H422" s="26">
        <f t="shared" si="6"/>
        <v>1300</v>
      </c>
      <c r="I422" s="56"/>
      <c r="J422" s="46"/>
      <c r="K422" s="16" t="str">
        <f>HYPERLINK("https://www.loqueleo.com/ar/libro/una-familia-para-rodolfo","VER")</f>
        <v>VER</v>
      </c>
      <c r="L422" s="56">
        <v>2016</v>
      </c>
    </row>
    <row r="423" spans="1:12" ht="12">
      <c r="A423" s="45">
        <v>61069257</v>
      </c>
      <c r="B423" s="44">
        <v>9789504643814</v>
      </c>
      <c r="C423" s="44" t="s">
        <v>8</v>
      </c>
      <c r="D423" s="45" t="s">
        <v>336</v>
      </c>
      <c r="E423" s="45" t="s">
        <v>86</v>
      </c>
      <c r="F423" s="45" t="s">
        <v>460</v>
      </c>
      <c r="G423" s="26">
        <v>2990</v>
      </c>
      <c r="H423" s="26">
        <f t="shared" si="6"/>
        <v>1495</v>
      </c>
      <c r="I423" s="56"/>
      <c r="J423" s="46"/>
      <c r="K423" s="16" t="str">
        <f>HYPERLINK("https://www.loqueleo.com/ar/libro/una-y-mil-noches-de-sherezada","VER")</f>
        <v>VER</v>
      </c>
      <c r="L423" s="56">
        <v>2016</v>
      </c>
    </row>
    <row r="424" spans="1:12" ht="12">
      <c r="A424" s="45">
        <v>61070035</v>
      </c>
      <c r="B424" s="44">
        <v>9789504646143</v>
      </c>
      <c r="C424" s="44" t="s">
        <v>8</v>
      </c>
      <c r="D424" s="45" t="s">
        <v>337</v>
      </c>
      <c r="E424" s="45" t="s">
        <v>52</v>
      </c>
      <c r="F424" s="45" t="s">
        <v>460</v>
      </c>
      <c r="G424" s="26">
        <v>2400</v>
      </c>
      <c r="H424" s="26">
        <f t="shared" si="6"/>
        <v>1200</v>
      </c>
      <c r="I424" s="56"/>
      <c r="J424" s="46"/>
      <c r="K424" s="16" t="str">
        <f>HYPERLINK("https://www.loqueleo.com/ar/libro/lo-unico-del-mundo","VER")</f>
        <v>VER</v>
      </c>
      <c r="L424" s="56">
        <v>2016</v>
      </c>
    </row>
    <row r="425" spans="1:12" ht="12">
      <c r="A425" s="45">
        <v>61070029</v>
      </c>
      <c r="B425" s="44">
        <v>9789504646198</v>
      </c>
      <c r="C425" s="44" t="s">
        <v>8</v>
      </c>
      <c r="D425" s="45" t="s">
        <v>338</v>
      </c>
      <c r="E425" s="45" t="s">
        <v>23</v>
      </c>
      <c r="F425" s="45" t="s">
        <v>460</v>
      </c>
      <c r="G425" s="26">
        <v>2990</v>
      </c>
      <c r="H425" s="26">
        <f t="shared" si="6"/>
        <v>1495</v>
      </c>
      <c r="I425" s="56"/>
      <c r="J425" s="46" t="s">
        <v>348</v>
      </c>
      <c r="K425" s="16" t="str">
        <f>HYPERLINK("https://www.loqueleo.com/ar/libro/unidos-contra-dracula","VER")</f>
        <v>VER</v>
      </c>
      <c r="L425" s="56">
        <v>2016</v>
      </c>
    </row>
    <row r="426" spans="1:12" ht="12">
      <c r="A426" s="45">
        <v>61070162</v>
      </c>
      <c r="B426" s="44">
        <v>9789504646266</v>
      </c>
      <c r="C426" s="44" t="s">
        <v>8</v>
      </c>
      <c r="D426" s="45" t="s">
        <v>339</v>
      </c>
      <c r="E426" s="45" t="s">
        <v>105</v>
      </c>
      <c r="F426" s="45" t="s">
        <v>463</v>
      </c>
      <c r="G426" s="26">
        <v>2200</v>
      </c>
      <c r="H426" s="26">
        <f t="shared" si="6"/>
        <v>1100</v>
      </c>
      <c r="I426" s="56"/>
      <c r="J426" s="46"/>
      <c r="K426" s="16" t="str">
        <f>HYPERLINK("https://www.loqueleo.com/ar/libro/las-vacaciones-de-tomasito","VER")</f>
        <v>VER</v>
      </c>
      <c r="L426" s="56">
        <v>2016</v>
      </c>
    </row>
    <row r="427" spans="1:12" ht="12">
      <c r="A427" s="45">
        <v>61073764</v>
      </c>
      <c r="B427" s="44">
        <v>9789504651970</v>
      </c>
      <c r="C427" s="44" t="s">
        <v>8</v>
      </c>
      <c r="D427" s="45" t="s">
        <v>340</v>
      </c>
      <c r="E427" s="45" t="s">
        <v>71</v>
      </c>
      <c r="F427" s="45" t="s">
        <v>461</v>
      </c>
      <c r="G427" s="26">
        <v>2400</v>
      </c>
      <c r="H427" s="26">
        <f t="shared" si="6"/>
        <v>1200</v>
      </c>
      <c r="I427" s="56"/>
      <c r="J427" s="46"/>
      <c r="K427" s="16" t="str">
        <f>HYPERLINK("https://www.loqueleo.com/ar/libro/un-valiente-bajo-la-mesa","VER")</f>
        <v>VER</v>
      </c>
      <c r="L427" s="56">
        <v>2017</v>
      </c>
    </row>
    <row r="428" spans="1:12" ht="12">
      <c r="A428" s="45">
        <v>61074011</v>
      </c>
      <c r="B428" s="44">
        <v>9789504652458</v>
      </c>
      <c r="C428" s="44" t="s">
        <v>8</v>
      </c>
      <c r="D428" s="45" t="s">
        <v>437</v>
      </c>
      <c r="E428" s="45" t="s">
        <v>30</v>
      </c>
      <c r="F428" s="45" t="s">
        <v>463</v>
      </c>
      <c r="G428" s="26">
        <v>3100</v>
      </c>
      <c r="H428" s="26">
        <f t="shared" si="6"/>
        <v>1550</v>
      </c>
      <c r="I428" s="56"/>
      <c r="J428" s="46"/>
      <c r="K428" s="16" t="str">
        <f>HYPERLINK("https://www.loqueleo.com/ar/libro/la-valija-de-dona-maria","VER")</f>
        <v>VER</v>
      </c>
      <c r="L428" s="56">
        <v>2017</v>
      </c>
    </row>
    <row r="429" spans="1:12" ht="12">
      <c r="A429" s="45">
        <v>61069288</v>
      </c>
      <c r="B429" s="44">
        <v>9789504643661</v>
      </c>
      <c r="C429" s="44" t="s">
        <v>8</v>
      </c>
      <c r="D429" s="45" t="s">
        <v>341</v>
      </c>
      <c r="E429" s="45" t="s">
        <v>127</v>
      </c>
      <c r="F429" s="45" t="s">
        <v>460</v>
      </c>
      <c r="G429" s="26">
        <v>2990</v>
      </c>
      <c r="H429" s="26">
        <f t="shared" si="6"/>
        <v>1495</v>
      </c>
      <c r="I429" s="56"/>
      <c r="J429" s="46"/>
      <c r="K429" s="16" t="str">
        <f>HYPERLINK("https://www.loqueleo.com/ar/libro/vecinos-y-detectives-en-belgrano","VER")</f>
        <v>VER</v>
      </c>
      <c r="L429" s="56">
        <v>2016</v>
      </c>
    </row>
    <row r="430" spans="1:12" ht="12">
      <c r="A430" s="45">
        <v>61069235</v>
      </c>
      <c r="B430" s="44">
        <v>9789504643111</v>
      </c>
      <c r="C430" s="44" t="s">
        <v>8</v>
      </c>
      <c r="D430" s="45" t="s">
        <v>342</v>
      </c>
      <c r="E430" s="45" t="s">
        <v>30</v>
      </c>
      <c r="F430" s="45" t="s">
        <v>459</v>
      </c>
      <c r="G430" s="26">
        <v>2600</v>
      </c>
      <c r="H430" s="26">
        <f t="shared" si="6"/>
        <v>1300</v>
      </c>
      <c r="I430" s="56"/>
      <c r="J430" s="46"/>
      <c r="K430" s="16" t="s">
        <v>439</v>
      </c>
      <c r="L430" s="56">
        <v>2016</v>
      </c>
    </row>
    <row r="431" spans="1:12" ht="12">
      <c r="A431" s="45">
        <v>61070152</v>
      </c>
      <c r="B431" s="44">
        <v>9789504646518</v>
      </c>
      <c r="C431" s="44" t="s">
        <v>8</v>
      </c>
      <c r="D431" s="45" t="s">
        <v>343</v>
      </c>
      <c r="E431" s="45" t="s">
        <v>66</v>
      </c>
      <c r="F431" s="45" t="s">
        <v>26</v>
      </c>
      <c r="G431" s="26">
        <v>3100</v>
      </c>
      <c r="H431" s="26">
        <f t="shared" si="6"/>
        <v>1550</v>
      </c>
      <c r="I431" s="56"/>
      <c r="J431" s="46"/>
      <c r="K431" s="16" t="str">
        <f>HYPERLINK("https://www.loqueleo.com/ar/libro/la-velocidad-de-la-musica","VER")</f>
        <v>VER</v>
      </c>
      <c r="L431" s="56">
        <v>2016</v>
      </c>
    </row>
    <row r="432" spans="1:12" ht="12">
      <c r="A432" s="45">
        <v>61077952</v>
      </c>
      <c r="B432" s="44">
        <v>9789504656050</v>
      </c>
      <c r="C432" s="44" t="s">
        <v>8</v>
      </c>
      <c r="D432" s="45" t="s">
        <v>546</v>
      </c>
      <c r="E432" s="45" t="s">
        <v>547</v>
      </c>
      <c r="F432" s="45" t="s">
        <v>26</v>
      </c>
      <c r="G432" s="26">
        <v>3100</v>
      </c>
      <c r="H432" s="26">
        <f t="shared" si="6"/>
        <v>1550</v>
      </c>
      <c r="I432" s="56"/>
      <c r="J432" s="46"/>
      <c r="K432" s="16" t="str">
        <f>HYPERLINK("https://www.loqueleo.com/ar/libro/la-venganza-del-tigre-azul","VER")</f>
        <v>VER</v>
      </c>
      <c r="L432" s="56">
        <v>2018</v>
      </c>
    </row>
    <row r="433" spans="1:12" ht="12">
      <c r="A433" s="48">
        <v>61077950</v>
      </c>
      <c r="B433" s="49">
        <v>9789504653813</v>
      </c>
      <c r="C433" s="49" t="s">
        <v>8</v>
      </c>
      <c r="D433" s="53" t="s">
        <v>365</v>
      </c>
      <c r="E433" s="53" t="s">
        <v>30</v>
      </c>
      <c r="F433" s="45" t="s">
        <v>465</v>
      </c>
      <c r="G433" s="26">
        <v>2990</v>
      </c>
      <c r="H433" s="26">
        <f t="shared" si="6"/>
        <v>1495</v>
      </c>
      <c r="I433" s="57"/>
      <c r="J433" s="46"/>
      <c r="K433" s="16" t="s">
        <v>439</v>
      </c>
      <c r="L433" s="57">
        <v>2017</v>
      </c>
    </row>
    <row r="434" spans="1:12" ht="12">
      <c r="A434" s="45">
        <v>61088917</v>
      </c>
      <c r="B434" s="44">
        <v>9789504658603</v>
      </c>
      <c r="C434" s="44" t="s">
        <v>8</v>
      </c>
      <c r="D434" s="45" t="s">
        <v>420</v>
      </c>
      <c r="E434" s="45" t="s">
        <v>14</v>
      </c>
      <c r="F434" s="45" t="s">
        <v>465</v>
      </c>
      <c r="G434" s="26">
        <v>2990</v>
      </c>
      <c r="H434" s="26">
        <f t="shared" si="6"/>
        <v>1495</v>
      </c>
      <c r="I434" s="56"/>
      <c r="J434" s="46"/>
      <c r="K434" s="16" t="str">
        <f>HYPERLINK("https://www.loqueleo.com/ar/libro/los-versos-de-la-nina-lapiz","VER")</f>
        <v>VER</v>
      </c>
      <c r="L434" s="56">
        <v>2019</v>
      </c>
    </row>
    <row r="435" spans="1:12" ht="12">
      <c r="A435" s="45">
        <v>61090745</v>
      </c>
      <c r="B435" s="44">
        <v>9789504659143</v>
      </c>
      <c r="C435" s="44" t="s">
        <v>8</v>
      </c>
      <c r="D435" s="45" t="s">
        <v>427</v>
      </c>
      <c r="E435" s="45" t="s">
        <v>92</v>
      </c>
      <c r="F435" s="45" t="s">
        <v>461</v>
      </c>
      <c r="G435" s="26">
        <v>2200</v>
      </c>
      <c r="H435" s="26">
        <f t="shared" si="6"/>
        <v>1100</v>
      </c>
      <c r="I435" s="56"/>
      <c r="J435" s="46"/>
      <c r="K435" s="16" t="str">
        <f>HYPERLINK("https://www.loqueleo.com/ar/libro/viaje-a-la-bandera","VER")</f>
        <v>VER</v>
      </c>
      <c r="L435" s="56">
        <v>2020</v>
      </c>
    </row>
    <row r="436" spans="1:12" ht="12">
      <c r="A436" s="45">
        <v>61070032</v>
      </c>
      <c r="B436" s="44">
        <v>9789504646112</v>
      </c>
      <c r="C436" s="44" t="s">
        <v>8</v>
      </c>
      <c r="D436" s="45" t="s">
        <v>344</v>
      </c>
      <c r="E436" s="45" t="s">
        <v>14</v>
      </c>
      <c r="F436" s="45" t="s">
        <v>460</v>
      </c>
      <c r="G436" s="26">
        <v>2990</v>
      </c>
      <c r="H436" s="26">
        <f t="shared" si="6"/>
        <v>1495</v>
      </c>
      <c r="I436" s="56"/>
      <c r="J436" s="46" t="s">
        <v>348</v>
      </c>
      <c r="K436" s="16" t="str">
        <f>HYPERLINK("https://www.loqueleo.com/ar/libro/las-visitas","VER")</f>
        <v>VER</v>
      </c>
      <c r="L436" s="56">
        <v>2016</v>
      </c>
    </row>
    <row r="437" spans="1:12" ht="12">
      <c r="A437" s="45">
        <v>61069234</v>
      </c>
      <c r="B437" s="44">
        <v>9789504643302</v>
      </c>
      <c r="C437" s="44" t="s">
        <v>8</v>
      </c>
      <c r="D437" s="45" t="s">
        <v>345</v>
      </c>
      <c r="E437" s="45" t="s">
        <v>27</v>
      </c>
      <c r="F437" s="45" t="s">
        <v>461</v>
      </c>
      <c r="G437" s="26">
        <v>2200</v>
      </c>
      <c r="H437" s="26">
        <f t="shared" si="6"/>
        <v>1100</v>
      </c>
      <c r="I437" s="56"/>
      <c r="J437" s="46"/>
      <c r="K437" s="16" t="str">
        <f>HYPERLINK("https://www.loqueleo.com/ar/libro/el-vuelo-del-dragon","VER")</f>
        <v>VER</v>
      </c>
      <c r="L437" s="56">
        <v>2016</v>
      </c>
    </row>
    <row r="438" spans="1:12" ht="12">
      <c r="A438" s="45">
        <v>61070024</v>
      </c>
      <c r="B438" s="44">
        <v>9789504644729</v>
      </c>
      <c r="C438" s="44" t="s">
        <v>8</v>
      </c>
      <c r="D438" s="45" t="s">
        <v>346</v>
      </c>
      <c r="E438" s="45" t="s">
        <v>62</v>
      </c>
      <c r="F438" s="45" t="s">
        <v>461</v>
      </c>
      <c r="G438" s="26">
        <v>2400</v>
      </c>
      <c r="H438" s="26">
        <f t="shared" si="6"/>
        <v>1200</v>
      </c>
      <c r="I438" s="56"/>
      <c r="J438" s="46"/>
      <c r="K438" s="16" t="str">
        <f>HYPERLINK("https://www.loqueleo.com/ar/libro/el-vuelo-del-sapo","VER")</f>
        <v>VER</v>
      </c>
      <c r="L438" s="56">
        <v>2016</v>
      </c>
    </row>
    <row r="439" spans="1:12" ht="12">
      <c r="A439" s="45">
        <v>61073763</v>
      </c>
      <c r="B439" s="44">
        <v>9789504651895</v>
      </c>
      <c r="C439" s="44" t="s">
        <v>8</v>
      </c>
      <c r="D439" s="45" t="s">
        <v>548</v>
      </c>
      <c r="E439" s="45" t="s">
        <v>96</v>
      </c>
      <c r="F439" s="45" t="s">
        <v>464</v>
      </c>
      <c r="G439" s="26">
        <v>2600</v>
      </c>
      <c r="H439" s="26">
        <f t="shared" si="6"/>
        <v>1300</v>
      </c>
      <c r="I439" s="56"/>
      <c r="J439" s="46"/>
      <c r="K439" s="16" t="str">
        <f>HYPERLINK("https://www.loqueleo.com/ar/libro/yo-raton","VER")</f>
        <v>VER</v>
      </c>
      <c r="L439" s="56">
        <v>2017</v>
      </c>
    </row>
    <row r="440" spans="1:12" ht="12">
      <c r="A440" s="45">
        <v>61075414</v>
      </c>
      <c r="B440" s="44">
        <v>9789504652397</v>
      </c>
      <c r="C440" s="44" t="s">
        <v>8</v>
      </c>
      <c r="D440" s="45" t="s">
        <v>347</v>
      </c>
      <c r="E440" s="45" t="s">
        <v>27</v>
      </c>
      <c r="F440" s="45" t="s">
        <v>460</v>
      </c>
      <c r="G440" s="26">
        <v>2400</v>
      </c>
      <c r="H440" s="26">
        <f t="shared" si="6"/>
        <v>1200</v>
      </c>
      <c r="I440" s="56"/>
      <c r="J440" s="46"/>
      <c r="K440" s="16" t="str">
        <f>HYPERLINK("https://www.loqueleo.com/ar/libro/zimmers","VER")</f>
        <v>VER</v>
      </c>
      <c r="L440" s="56">
        <v>2017</v>
      </c>
    </row>
    <row r="441" spans="1:12" ht="15.75">
      <c r="A441" s="58" t="s">
        <v>549</v>
      </c>
      <c r="B441" s="59"/>
      <c r="C441" s="58"/>
      <c r="D441" s="58"/>
      <c r="E441" s="58"/>
      <c r="F441" s="58"/>
      <c r="G441" s="60"/>
      <c r="H441" s="60"/>
      <c r="I441" s="61"/>
      <c r="J441" s="61"/>
      <c r="K441" s="61"/>
      <c r="L441" s="61"/>
    </row>
    <row r="442" spans="1:12" ht="12">
      <c r="A442" s="21">
        <v>61092732</v>
      </c>
      <c r="B442" s="21">
        <v>9789504663812</v>
      </c>
      <c r="C442" s="21" t="s">
        <v>8</v>
      </c>
      <c r="D442" s="22" t="s">
        <v>456</v>
      </c>
      <c r="E442" s="23" t="s">
        <v>12</v>
      </c>
      <c r="F442" s="24" t="s">
        <v>465</v>
      </c>
      <c r="G442" s="67">
        <v>19860</v>
      </c>
      <c r="H442" s="67">
        <v>9930</v>
      </c>
      <c r="I442" s="69"/>
      <c r="J442" s="20" t="s">
        <v>497</v>
      </c>
      <c r="K442" s="52" t="s">
        <v>439</v>
      </c>
      <c r="L442" s="30">
        <v>2021</v>
      </c>
    </row>
    <row r="443" spans="1:12" ht="15" customHeight="1">
      <c r="A443" s="62">
        <v>61069279</v>
      </c>
      <c r="B443" s="63">
        <v>9789504643203</v>
      </c>
      <c r="C443" s="63" t="s">
        <v>8</v>
      </c>
      <c r="D443" s="62" t="s">
        <v>153</v>
      </c>
      <c r="E443" s="62" t="s">
        <v>12</v>
      </c>
      <c r="F443" s="62" t="s">
        <v>461</v>
      </c>
      <c r="G443" s="67"/>
      <c r="H443" s="67"/>
      <c r="I443" s="70"/>
      <c r="J443" s="65" t="s">
        <v>348</v>
      </c>
      <c r="K443" s="66" t="s">
        <v>439</v>
      </c>
      <c r="L443" s="64">
        <v>2016</v>
      </c>
    </row>
    <row r="444" spans="1:12" ht="15" customHeight="1">
      <c r="A444" s="62">
        <v>61073761</v>
      </c>
      <c r="B444" s="63">
        <v>9789504651949</v>
      </c>
      <c r="C444" s="63" t="s">
        <v>8</v>
      </c>
      <c r="D444" s="62" t="s">
        <v>205</v>
      </c>
      <c r="E444" s="62" t="s">
        <v>30</v>
      </c>
      <c r="F444" s="62" t="s">
        <v>465</v>
      </c>
      <c r="G444" s="67"/>
      <c r="H444" s="67"/>
      <c r="I444" s="70"/>
      <c r="J444" s="65"/>
      <c r="K444" s="66" t="s">
        <v>439</v>
      </c>
      <c r="L444" s="64">
        <v>2017</v>
      </c>
    </row>
    <row r="445" spans="1:12" ht="15" customHeight="1">
      <c r="A445" s="62">
        <v>61069232</v>
      </c>
      <c r="B445" s="63">
        <v>9789504643784</v>
      </c>
      <c r="C445" s="63" t="s">
        <v>8</v>
      </c>
      <c r="D445" s="62" t="s">
        <v>248</v>
      </c>
      <c r="E445" s="62" t="s">
        <v>27</v>
      </c>
      <c r="F445" s="62" t="s">
        <v>460</v>
      </c>
      <c r="G445" s="67"/>
      <c r="H445" s="67"/>
      <c r="I445" s="70"/>
      <c r="J445" s="65"/>
      <c r="K445" s="66" t="s">
        <v>439</v>
      </c>
      <c r="L445" s="64">
        <v>2016</v>
      </c>
    </row>
    <row r="446" spans="1:12" ht="15" customHeight="1">
      <c r="A446" s="62">
        <v>61069217</v>
      </c>
      <c r="B446" s="63">
        <v>9789504643890</v>
      </c>
      <c r="C446" s="63" t="s">
        <v>8</v>
      </c>
      <c r="D446" s="62" t="s">
        <v>273</v>
      </c>
      <c r="E446" s="62" t="s">
        <v>208</v>
      </c>
      <c r="F446" s="62" t="s">
        <v>26</v>
      </c>
      <c r="G446" s="67"/>
      <c r="H446" s="67"/>
      <c r="I446" s="70"/>
      <c r="J446" s="65" t="s">
        <v>348</v>
      </c>
      <c r="K446" s="66" t="s">
        <v>439</v>
      </c>
      <c r="L446" s="64">
        <v>2016</v>
      </c>
    </row>
    <row r="447" spans="1:12" ht="15" customHeight="1">
      <c r="A447" s="62">
        <v>61086588</v>
      </c>
      <c r="B447" s="63">
        <v>9789504657934</v>
      </c>
      <c r="C447" s="63" t="s">
        <v>8</v>
      </c>
      <c r="D447" s="62" t="s">
        <v>401</v>
      </c>
      <c r="E447" s="62" t="s">
        <v>96</v>
      </c>
      <c r="F447" s="62" t="s">
        <v>465</v>
      </c>
      <c r="G447" s="67"/>
      <c r="H447" s="67"/>
      <c r="I447" s="70"/>
      <c r="J447" s="65"/>
      <c r="K447" s="66" t="s">
        <v>439</v>
      </c>
      <c r="L447" s="64">
        <v>2019</v>
      </c>
    </row>
    <row r="448" spans="1:12" ht="15" customHeight="1">
      <c r="A448" s="62">
        <v>61071800</v>
      </c>
      <c r="B448" s="63">
        <v>9789504648734</v>
      </c>
      <c r="C448" s="63" t="s">
        <v>8</v>
      </c>
      <c r="D448" s="62" t="s">
        <v>293</v>
      </c>
      <c r="E448" s="62" t="s">
        <v>294</v>
      </c>
      <c r="F448" s="62" t="s">
        <v>460</v>
      </c>
      <c r="G448" s="68"/>
      <c r="H448" s="68"/>
      <c r="I448" s="71"/>
      <c r="J448" s="65" t="s">
        <v>348</v>
      </c>
      <c r="K448" s="66" t="s">
        <v>439</v>
      </c>
      <c r="L448" s="64">
        <v>2016</v>
      </c>
    </row>
  </sheetData>
  <sheetProtection/>
  <mergeCells count="3">
    <mergeCell ref="G442:G448"/>
    <mergeCell ref="H442:H448"/>
    <mergeCell ref="I442:I448"/>
  </mergeCells>
  <hyperlinks>
    <hyperlink ref="K153" r:id="rId1" display="VER"/>
    <hyperlink ref="K29" r:id="rId2" display="VER"/>
    <hyperlink ref="K35" r:id="rId3" display="VER"/>
    <hyperlink ref="K56" r:id="rId4" display="VER"/>
    <hyperlink ref="K208" r:id="rId5" display="VER"/>
    <hyperlink ref="K55" r:id="rId6" display="VER"/>
    <hyperlink ref="K302" r:id="rId7" display="VER"/>
    <hyperlink ref="K325" r:id="rId8" display="VER"/>
    <hyperlink ref="K354" r:id="rId9" display="VER"/>
    <hyperlink ref="K36" r:id="rId10" display="VER"/>
    <hyperlink ref="K39" r:id="rId11" display="VER"/>
    <hyperlink ref="K169" r:id="rId12" display="VER"/>
    <hyperlink ref="K258" r:id="rId13" display="VER"/>
    <hyperlink ref="K67" r:id="rId14" display="VER"/>
    <hyperlink ref="K83" r:id="rId15" display="VER"/>
    <hyperlink ref="K279" r:id="rId16" display="VER"/>
    <hyperlink ref="K261" r:id="rId17" display="VER"/>
    <hyperlink ref="K68" r:id="rId18" display="VER"/>
    <hyperlink ref="K114" r:id="rId19" display="VER"/>
    <hyperlink ref="K262" r:id="rId20" display="VER"/>
    <hyperlink ref="K267" r:id="rId21" display="VER"/>
    <hyperlink ref="K57" r:id="rId22" display="VER"/>
    <hyperlink ref="K379" r:id="rId23" display="VER"/>
    <hyperlink ref="K418" r:id="rId24" display="VER"/>
    <hyperlink ref="K407" r:id="rId25" display="VER"/>
    <hyperlink ref="K409" r:id="rId26" display="VER"/>
    <hyperlink ref="K430" r:id="rId27" display="VER"/>
    <hyperlink ref="K412" r:id="rId28" display="VER"/>
    <hyperlink ref="K414" r:id="rId29" display="VER"/>
    <hyperlink ref="K433" r:id="rId30" display="VER"/>
    <hyperlink ref="K75" r:id="rId31" display="VER"/>
    <hyperlink ref="K358" r:id="rId32" display="VER"/>
    <hyperlink ref="K361" r:id="rId33" display="VER"/>
    <hyperlink ref="K408" r:id="rId34" display="VER"/>
    <hyperlink ref="K133" r:id="rId35" display="VER"/>
    <hyperlink ref="K191" r:id="rId36" display="VER"/>
    <hyperlink ref="K218" r:id="rId37" display="VER"/>
    <hyperlink ref="K229" r:id="rId38" display="VER"/>
    <hyperlink ref="K276" r:id="rId39" display="VER"/>
    <hyperlink ref="K308" r:id="rId40" display="VER"/>
    <hyperlink ref="K327" r:id="rId41" display="VER"/>
    <hyperlink ref="K124" r:id="rId42" display="VER"/>
    <hyperlink ref="K125" r:id="rId43" display="VER"/>
    <hyperlink ref="K126" r:id="rId44" display="VER"/>
    <hyperlink ref="K285" r:id="rId45" display="VER"/>
    <hyperlink ref="K54" r:id="rId46" display="VER"/>
    <hyperlink ref="K252" r:id="rId47" display="VER"/>
    <hyperlink ref="K163" r:id="rId48" display="VER"/>
    <hyperlink ref="K154" r:id="rId49" display="VER"/>
    <hyperlink ref="K366" r:id="rId50" display="VER"/>
    <hyperlink ref="K295" r:id="rId51" display="VER"/>
    <hyperlink ref="K248" r:id="rId52" display="VER"/>
    <hyperlink ref="K17" r:id="rId53" display="VER"/>
    <hyperlink ref="K317" r:id="rId54" display="VER"/>
    <hyperlink ref="K31" r:id="rId55" display="VER"/>
    <hyperlink ref="K47" r:id="rId56" display="VER"/>
    <hyperlink ref="K222" r:id="rId57" display="VER"/>
    <hyperlink ref="K397" r:id="rId58" display="VER"/>
    <hyperlink ref="K109" r:id="rId59" display="VER"/>
    <hyperlink ref="K162" r:id="rId60" display="VER"/>
    <hyperlink ref="K167" r:id="rId61" display="VER"/>
    <hyperlink ref="K249" r:id="rId62" display="VER"/>
    <hyperlink ref="K251" r:id="rId63" display="VER"/>
    <hyperlink ref="K387" r:id="rId64" display="VER"/>
    <hyperlink ref="K442" r:id="rId65" display="VER"/>
    <hyperlink ref="K443" r:id="rId66" display="VER"/>
  </hyperlink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84" r:id="rId68"/>
  <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calvarellos</dc:creator>
  <cp:keywords/>
  <dc:description/>
  <cp:lastModifiedBy>Slavinchins, Gustavo Gabriel</cp:lastModifiedBy>
  <cp:lastPrinted>2022-04-11T15:20:46Z</cp:lastPrinted>
  <dcterms:created xsi:type="dcterms:W3CDTF">2017-06-16T14:29:55Z</dcterms:created>
  <dcterms:modified xsi:type="dcterms:W3CDTF">2023-03-30T22:23:32Z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